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таб2" sheetId="2" r:id="rId1"/>
    <sheet name="таб 3" sheetId="3" r:id="rId2"/>
    <sheet name="таб 3-2" sheetId="8" r:id="rId3"/>
    <sheet name="таб 4" sheetId="4" r:id="rId4"/>
    <sheet name="таб 5" sheetId="5" r:id="rId5"/>
    <sheet name="таб 6" sheetId="6" r:id="rId6"/>
  </sheets>
  <definedNames>
    <definedName name="_xlnm.Print_Area" localSheetId="3">'таб 4'!$A$1:$G$31</definedName>
    <definedName name="_xlnm.Print_Area" localSheetId="0">таб2!$A$1:$G$34</definedName>
  </definedNames>
  <calcPr calcId="124519"/>
</workbook>
</file>

<file path=xl/calcChain.xml><?xml version="1.0" encoding="utf-8"?>
<calcChain xmlns="http://schemas.openxmlformats.org/spreadsheetml/2006/main">
  <c r="C13" i="4"/>
  <c r="C12"/>
  <c r="F30" i="3"/>
  <c r="F31"/>
  <c r="F32"/>
  <c r="F33"/>
  <c r="F34"/>
  <c r="F27"/>
  <c r="F28"/>
  <c r="F29"/>
  <c r="F22"/>
  <c r="F23"/>
  <c r="F24"/>
  <c r="F25"/>
  <c r="F26"/>
  <c r="F18"/>
  <c r="F19"/>
  <c r="F20"/>
  <c r="F21"/>
  <c r="E33" i="5" l="1"/>
  <c r="E40" i="3" l="1"/>
  <c r="E27" i="8" s="1"/>
  <c r="C11"/>
  <c r="C12" s="1"/>
  <c r="C14" s="1"/>
  <c r="D11"/>
  <c r="D12" s="1"/>
  <c r="D14" s="1"/>
  <c r="E11"/>
  <c r="E12" s="1"/>
  <c r="E14" s="1"/>
  <c r="F11"/>
  <c r="F12" s="1"/>
  <c r="F14" s="1"/>
  <c r="G11"/>
  <c r="G12" s="1"/>
  <c r="G14" s="1"/>
  <c r="H11"/>
  <c r="H12" s="1"/>
  <c r="H14" s="1"/>
  <c r="I11"/>
  <c r="I12" s="1"/>
  <c r="I14" s="1"/>
  <c r="J11"/>
  <c r="J12" s="1"/>
  <c r="J14" s="1"/>
  <c r="K11"/>
  <c r="K12" s="1"/>
  <c r="K14" s="1"/>
  <c r="L11"/>
  <c r="L12" s="1"/>
  <c r="L14" s="1"/>
  <c r="M11"/>
  <c r="M12" s="1"/>
  <c r="M14" s="1"/>
  <c r="N11"/>
  <c r="N12" s="1"/>
  <c r="N14" s="1"/>
  <c r="B11"/>
  <c r="B12" s="1"/>
  <c r="B14" s="1"/>
  <c r="N15" s="1"/>
  <c r="N16" s="1"/>
  <c r="M19" s="1"/>
  <c r="E38" i="5"/>
  <c r="E35"/>
  <c r="E39"/>
  <c r="E42" s="1"/>
  <c r="E43" s="1"/>
  <c r="G43" s="1"/>
  <c r="D15" i="6" s="1"/>
  <c r="F14" i="3"/>
  <c r="F15"/>
  <c r="F16"/>
  <c r="F17"/>
  <c r="E44" i="5" l="1"/>
  <c r="E24" i="4"/>
  <c r="E22" i="6" s="1"/>
  <c r="F22" i="5"/>
  <c r="E22"/>
  <c r="D9"/>
  <c r="C27" l="1"/>
  <c r="C28" s="1"/>
  <c r="D8" s="1"/>
  <c r="E28" i="2"/>
  <c r="D9"/>
  <c r="G19"/>
  <c r="D31"/>
  <c r="D32"/>
  <c r="E9" s="1"/>
  <c r="E10" i="4" l="1"/>
  <c r="E11" s="1"/>
  <c r="E12" s="1"/>
  <c r="E13" s="1"/>
  <c r="F10" i="3"/>
  <c r="F11"/>
  <c r="F12"/>
  <c r="F13"/>
  <c r="D33" i="2" l="1"/>
  <c r="F9" i="4" s="1"/>
  <c r="G9" s="1"/>
  <c r="D22" i="2"/>
  <c r="E22" s="1"/>
  <c r="G22" s="1"/>
  <c r="D11" i="5" s="1"/>
  <c r="F9" i="3"/>
  <c r="D21" i="2"/>
  <c r="E21"/>
  <c r="F35" i="3" l="1"/>
  <c r="K19" i="8" s="1"/>
  <c r="N19" s="1"/>
  <c r="J21" s="1"/>
  <c r="M21" s="1"/>
  <c r="D12" i="6" s="1"/>
  <c r="F10" i="4"/>
  <c r="G10" s="1"/>
  <c r="C9" i="2"/>
  <c r="F9" s="1"/>
  <c r="D19"/>
  <c r="E19" s="1"/>
  <c r="G20" s="1"/>
  <c r="D6" i="5" s="1"/>
  <c r="D15" l="1"/>
  <c r="D10" i="6"/>
  <c r="F11" i="4"/>
  <c r="G11" s="1"/>
  <c r="F10" i="2"/>
  <c r="F12" i="4" l="1"/>
  <c r="G12" s="1"/>
  <c r="B4" i="3"/>
  <c r="B4" i="4" s="1"/>
  <c r="B3" i="5" s="1"/>
  <c r="B5" i="6" s="1"/>
  <c r="F13" i="4" l="1"/>
  <c r="G13" l="1"/>
  <c r="G22" s="1"/>
  <c r="D13" i="6" s="1"/>
  <c r="D13" i="5"/>
  <c r="D17" s="1"/>
  <c r="D14" i="6" s="1"/>
  <c r="D16" s="1"/>
  <c r="D17" l="1"/>
  <c r="D18" s="1"/>
  <c r="D19" s="1"/>
  <c r="G19" s="1"/>
</calcChain>
</file>

<file path=xl/sharedStrings.xml><?xml version="1.0" encoding="utf-8"?>
<sst xmlns="http://schemas.openxmlformats.org/spreadsheetml/2006/main" count="267" uniqueCount="194">
  <si>
    <t>Расчет затрат на оплату труда персонала</t>
  </si>
  <si>
    <t>Должность</t>
  </si>
  <si>
    <t>Средний должностной оклад в месяц, включая начисления на выплаты по оплате труда ( руб.)</t>
  </si>
  <si>
    <t>Месячный фонд рабочего времени ( мин)</t>
  </si>
  <si>
    <t>Затраты на оплату труда персонала       ( руб) (5)=(2)/(3)*(4)</t>
  </si>
  <si>
    <t>ИТОГО</t>
  </si>
  <si>
    <t>х</t>
  </si>
  <si>
    <t>Таблица 2</t>
  </si>
  <si>
    <t>Расчет затрат на материальные запасы</t>
  </si>
  <si>
    <t>Наименование материальных запасов</t>
  </si>
  <si>
    <t>Единица измерения</t>
  </si>
  <si>
    <t>Всего затрат материальных запасов (5)=(3)*(4)</t>
  </si>
  <si>
    <t>Таблица 3</t>
  </si>
  <si>
    <t>Расчет суммы начисленной амортизации оборудования</t>
  </si>
  <si>
    <t>Наименование оборудования</t>
  </si>
  <si>
    <t>Балансовая стоимость</t>
  </si>
  <si>
    <t>Годовая норма износа (%)</t>
  </si>
  <si>
    <t>Годовая норма работы оборудования (час.)</t>
  </si>
  <si>
    <t>Сумма начисленной амортизации (6)=(2)*(3)/(4)*(5)</t>
  </si>
  <si>
    <t>Таблица 4</t>
  </si>
  <si>
    <t xml:space="preserve">1.  Прогноз затрат на административно-управленческий   </t>
  </si>
  <si>
    <t xml:space="preserve">2.  Прогноз затрат общехозяйственного назначения </t>
  </si>
  <si>
    <t xml:space="preserve">3.  Прогноз суммы начисленной амортизации имущества общехозяйственного назначения      </t>
  </si>
  <si>
    <t xml:space="preserve">4.  Прогноз суммарного фонда оплаты труда основного  персонала    </t>
  </si>
  <si>
    <t xml:space="preserve">5.  Коэффициент накладных затрат                        </t>
  </si>
  <si>
    <t>(5) = {(1) + (2)+ (3)} / (4)</t>
  </si>
  <si>
    <t xml:space="preserve">6.  Затраты на основной персонал, участвующий в  предоставлении платной услуги     мес.   </t>
  </si>
  <si>
    <t xml:space="preserve">7.  Итого накладные затраты, руб.                       </t>
  </si>
  <si>
    <t xml:space="preserve">(7) = (5) x (6) </t>
  </si>
  <si>
    <t>РАСЧЕТ</t>
  </si>
  <si>
    <t>ЦЕНЫ НА ОКАЗАНИЕ ПЛАТНОЙ УСЛУГИ</t>
  </si>
  <si>
    <t>(наименование платной услуги)</t>
  </si>
  <si>
    <t>Таблица 5</t>
  </si>
  <si>
    <t xml:space="preserve"> N   пп</t>
  </si>
  <si>
    <t xml:space="preserve">  Наименование статей затрат                  </t>
  </si>
  <si>
    <t>Сумма,                                                                                                                      руб.                                                                                          в месяц</t>
  </si>
  <si>
    <t xml:space="preserve">1. </t>
  </si>
  <si>
    <t xml:space="preserve">2. </t>
  </si>
  <si>
    <t xml:space="preserve">Затраты материальных запасов                                  </t>
  </si>
  <si>
    <t xml:space="preserve">3. </t>
  </si>
  <si>
    <t>Сумма начисленной амортизации оборудования, используемого при оказании платной услуги</t>
  </si>
  <si>
    <t xml:space="preserve">5. </t>
  </si>
  <si>
    <t xml:space="preserve">Накладные затраты, относимые на платную услугу                </t>
  </si>
  <si>
    <t xml:space="preserve">Итого затрат                                                  </t>
  </si>
  <si>
    <t xml:space="preserve">Рентабельность     15%                                           </t>
  </si>
  <si>
    <t>8.</t>
  </si>
  <si>
    <t>Таблица 6</t>
  </si>
  <si>
    <t>Затраты на оплату труда, включая начисления на выплаты по оплате труда основного персонала</t>
  </si>
  <si>
    <t>АУП</t>
  </si>
  <si>
    <t>СПРАВОЧНО</t>
  </si>
  <si>
    <t>оклад+ стимулирующие</t>
  </si>
  <si>
    <t xml:space="preserve">ЕСН </t>
  </si>
  <si>
    <t>итого с ЕСН</t>
  </si>
  <si>
    <t>Месячный фонд рабочего времени ( дней)</t>
  </si>
  <si>
    <t>шт</t>
  </si>
  <si>
    <t>Цена за единицу</t>
  </si>
  <si>
    <t>Педагогический персонал</t>
  </si>
  <si>
    <t>( наименование платной услуги)</t>
  </si>
  <si>
    <t>Заведующая</t>
  </si>
  <si>
    <t>Экономист</t>
  </si>
  <si>
    <t>Л.А. Петрова</t>
  </si>
  <si>
    <r>
      <rPr>
        <b/>
        <sz val="10"/>
        <rFont val="Arial Cyr"/>
        <charset val="204"/>
      </rPr>
      <t>Вид дополнительных услуг</t>
    </r>
    <r>
      <rPr>
        <sz val="11"/>
        <color theme="1"/>
        <rFont val="Calibri"/>
        <family val="2"/>
        <charset val="204"/>
        <scheme val="minor"/>
      </rPr>
      <t>:</t>
    </r>
  </si>
  <si>
    <r>
      <rPr>
        <b/>
        <sz val="10"/>
        <rFont val="Arial Cyr"/>
        <charset val="204"/>
      </rPr>
      <t>Количество детей</t>
    </r>
    <r>
      <rPr>
        <sz val="11"/>
        <color theme="1"/>
        <rFont val="Calibri"/>
        <family val="2"/>
        <charset val="204"/>
        <scheme val="minor"/>
      </rPr>
      <t>: ( человек)</t>
    </r>
  </si>
  <si>
    <r>
      <rPr>
        <b/>
        <sz val="10"/>
        <rFont val="Arial Cyr"/>
        <charset val="204"/>
      </rPr>
      <t>Количество занятий в неделю</t>
    </r>
    <r>
      <rPr>
        <sz val="11"/>
        <color theme="1"/>
        <rFont val="Calibri"/>
        <family val="2"/>
        <charset val="204"/>
        <scheme val="minor"/>
      </rPr>
      <t>:  раза в неделю</t>
    </r>
  </si>
  <si>
    <r>
      <rPr>
        <b/>
        <sz val="10"/>
        <rFont val="Arial Cyr"/>
        <charset val="204"/>
      </rPr>
      <t>Продолжительность занятия</t>
    </r>
    <r>
      <rPr>
        <sz val="11"/>
        <color theme="1"/>
        <rFont val="Calibri"/>
        <family val="2"/>
        <charset val="204"/>
        <scheme val="minor"/>
      </rPr>
      <t>:  мин.</t>
    </r>
  </si>
  <si>
    <t>Время работы</t>
  </si>
  <si>
    <t>Время работы оборудования в процессе оказания платной услуги (час.) год</t>
  </si>
  <si>
    <t>час в неделю</t>
  </si>
  <si>
    <t>час в месяц</t>
  </si>
  <si>
    <t>час в год</t>
  </si>
  <si>
    <t>Воспитатель</t>
  </si>
  <si>
    <t>компьютер</t>
  </si>
  <si>
    <t>итого</t>
  </si>
  <si>
    <t>36 час в неделю</t>
  </si>
  <si>
    <t>Расход ( в ед. измерениях) в год</t>
  </si>
  <si>
    <t>в месяц</t>
  </si>
  <si>
    <t>год</t>
  </si>
  <si>
    <t>месяц</t>
  </si>
  <si>
    <t>численность педагогических работников</t>
  </si>
  <si>
    <t>ФОТ за месяц</t>
  </si>
  <si>
    <t>амортизация</t>
  </si>
  <si>
    <t xml:space="preserve">из ПФХД </t>
  </si>
  <si>
    <t>на год</t>
  </si>
  <si>
    <t>на месяц</t>
  </si>
  <si>
    <t>кг</t>
  </si>
  <si>
    <t>Нормы расхода моющих средств на нужды бюджетных организаций</t>
  </si>
  <si>
    <t>на 1 человека в месяц</t>
  </si>
  <si>
    <t xml:space="preserve">Мыло хозяйственное </t>
  </si>
  <si>
    <t xml:space="preserve">Мыло туалетное </t>
  </si>
  <si>
    <t xml:space="preserve">Сода кальцинир. </t>
  </si>
  <si>
    <t xml:space="preserve">Стиральн. порошок </t>
  </si>
  <si>
    <t xml:space="preserve">Сода питьевая </t>
  </si>
  <si>
    <t xml:space="preserve">Хлорная из- весть, хлорамин </t>
  </si>
  <si>
    <t xml:space="preserve">Ткань поковоч. для пола </t>
  </si>
  <si>
    <t xml:space="preserve">Щетки </t>
  </si>
  <si>
    <t xml:space="preserve">Метла </t>
  </si>
  <si>
    <t xml:space="preserve">Эл. лампы </t>
  </si>
  <si>
    <t xml:space="preserve">Эл. лампы дн. света </t>
  </si>
  <si>
    <t xml:space="preserve">Ед. изм. </t>
  </si>
  <si>
    <t xml:space="preserve">кус. </t>
  </si>
  <si>
    <t>л</t>
  </si>
  <si>
    <t xml:space="preserve">кг </t>
  </si>
  <si>
    <t xml:space="preserve">метр </t>
  </si>
  <si>
    <t xml:space="preserve">шт. </t>
  </si>
  <si>
    <t>цена</t>
  </si>
  <si>
    <t>сумма</t>
  </si>
  <si>
    <t>численность АУП</t>
  </si>
  <si>
    <t>6.</t>
  </si>
  <si>
    <t>7.</t>
  </si>
  <si>
    <t>9.</t>
  </si>
  <si>
    <t>Коммунальные услуги, относимые на платную услугу</t>
  </si>
  <si>
    <t>Таб 3 /2</t>
  </si>
  <si>
    <t>площадь ДОУ</t>
  </si>
  <si>
    <t>Площадь кабинета дополнительной услуги</t>
  </si>
  <si>
    <t>Стоимость коммунальнойуслуги, относимые на платную услугу  на год</t>
  </si>
  <si>
    <t>Стоимость коммунальнойуслуги, относимые на платную услугу  на месяц</t>
  </si>
  <si>
    <t>на 1 человека в год</t>
  </si>
  <si>
    <t xml:space="preserve">Веники 1 на 3 мес. </t>
  </si>
  <si>
    <t>на услугу в год</t>
  </si>
  <si>
    <t>ВСЕГО Расчет затрат на материальные запасы на год</t>
  </si>
  <si>
    <t>=</t>
  </si>
  <si>
    <t>+</t>
  </si>
  <si>
    <t>ИТОГО Расчет затрат на материальные запасы на месяц</t>
  </si>
  <si>
    <t>:</t>
  </si>
  <si>
    <t>ПФХД 2016</t>
  </si>
  <si>
    <t>Расчет расходов относящиеся к накладным затратам</t>
  </si>
  <si>
    <t>расчет:</t>
  </si>
  <si>
    <t>РАСЧЕТ   НАКЛАДНЫХ ЗАТРАТ</t>
  </si>
  <si>
    <t>электроэнергия          тыс.  кВТ/час</t>
  </si>
  <si>
    <t>Утверждены приказом Минпроса СССР от 28 января 1986 года № 45</t>
  </si>
  <si>
    <t xml:space="preserve">   Примечания: 1. Примерные нормы расхода материалов рассчитаны на 1месяц из расчета:  в детских дошкольных учреждениях - на 1  группу;</t>
  </si>
  <si>
    <t>Наименование</t>
  </si>
  <si>
    <t xml:space="preserve"> справочно: средняя численность  1 группы- 25 чел</t>
  </si>
  <si>
    <t>Детсады  на 1 группу на 1 мес</t>
  </si>
  <si>
    <t xml:space="preserve">Моющие средства ("гиг., "сан. и др.) </t>
  </si>
  <si>
    <t>вода                             тыс.  м3</t>
  </si>
  <si>
    <t>тепловая энергия       тыс. Г кал</t>
  </si>
  <si>
    <t>газ                               тыс. м3</t>
  </si>
  <si>
    <t>на 1 занятие</t>
  </si>
  <si>
    <t xml:space="preserve">Цена на платную услугу с учетом рентабельности        на 1 человека, руб    </t>
  </si>
  <si>
    <t>Стоимость услуги в месяц  , руб.</t>
  </si>
  <si>
    <t>т3</t>
  </si>
  <si>
    <t>т2</t>
  </si>
  <si>
    <t>т4/12мес</t>
  </si>
  <si>
    <t>т5</t>
  </si>
  <si>
    <t>Время на оказание платныхх услуг ( мин)</t>
  </si>
  <si>
    <t>Справочно:</t>
  </si>
  <si>
    <t>ноутбук</t>
  </si>
  <si>
    <t>принтер</t>
  </si>
  <si>
    <t>2 группа: 4,17 %</t>
  </si>
  <si>
    <t>3 группа: 2,78 %</t>
  </si>
  <si>
    <t>экран</t>
  </si>
  <si>
    <t>проэктор</t>
  </si>
  <si>
    <t>4 группа: 1,67 %</t>
  </si>
  <si>
    <t>магнитафон</t>
  </si>
  <si>
    <t>мебель</t>
  </si>
  <si>
    <t>Годовая норма работы оборудования (час.)=</t>
  </si>
  <si>
    <t>247 дн*3час=741 час</t>
  </si>
  <si>
    <t>1.1 Общая балансовая стоимость недвижимого муниципального имущества</t>
  </si>
  <si>
    <t>амортизация месяцев</t>
  </si>
  <si>
    <t>используемое время</t>
  </si>
  <si>
    <t>:16,52*4,13</t>
  </si>
  <si>
    <t>согласно постановления Администрации МО г. Горячий Ключ № 1769 от 01.08.2018 года " О лимитах потребления электроэнергии, тепловой энергии, природного газа, холодной и горячей воды,,,,"                 руб</t>
  </si>
  <si>
    <t>М.В. Селиверстова</t>
  </si>
  <si>
    <t>мультим. Установка</t>
  </si>
  <si>
    <t>Кружок " Изобразительного творчества"</t>
  </si>
  <si>
    <t>пластилин</t>
  </si>
  <si>
    <t>краски акварельные</t>
  </si>
  <si>
    <t>гуашь</t>
  </si>
  <si>
    <t>фломастеры</t>
  </si>
  <si>
    <t>маркеры</t>
  </si>
  <si>
    <t>степлер</t>
  </si>
  <si>
    <t>скобы</t>
  </si>
  <si>
    <t>линейка</t>
  </si>
  <si>
    <t>бумага</t>
  </si>
  <si>
    <t>набор бумаги</t>
  </si>
  <si>
    <t>лак</t>
  </si>
  <si>
    <t>краска с пул</t>
  </si>
  <si>
    <t>ластик</t>
  </si>
  <si>
    <t>скотч</t>
  </si>
  <si>
    <t>ватман</t>
  </si>
  <si>
    <t>клей</t>
  </si>
  <si>
    <t>кисточка для клея</t>
  </si>
  <si>
    <t>набор цветной бумаги</t>
  </si>
  <si>
    <t>набор цветного картона</t>
  </si>
  <si>
    <t>самоклейка цв</t>
  </si>
  <si>
    <t>ножницы</t>
  </si>
  <si>
    <t>карандаши цв.</t>
  </si>
  <si>
    <t>метод.лит-ра</t>
  </si>
  <si>
    <t>карандаши простые</t>
  </si>
  <si>
    <t>альбом</t>
  </si>
  <si>
    <t>м</t>
  </si>
  <si>
    <t>стол 5 шт</t>
  </si>
  <si>
    <t>стул 10 шт.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</si>
</sst>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28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indexed="10"/>
      <name val="Arial Cyr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 Unicode MS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Arial Unicode MS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5" fillId="0" borderId="15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justify"/>
    </xf>
    <xf numFmtId="0" fontId="9" fillId="0" borderId="0" xfId="0" applyFont="1" applyAlignment="1">
      <alignment horizontal="center" wrapText="1"/>
    </xf>
    <xf numFmtId="0" fontId="8" fillId="0" borderId="0" xfId="0" applyFont="1" applyBorder="1" applyAlignment="1"/>
    <xf numFmtId="0" fontId="9" fillId="0" borderId="0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6" fillId="0" borderId="0" xfId="0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0" xfId="0" applyFont="1" applyBorder="1" applyAlignment="1"/>
    <xf numFmtId="2" fontId="6" fillId="0" borderId="0" xfId="0" applyNumberFormat="1" applyFont="1" applyBorder="1" applyAlignment="1">
      <alignment horizontal="center"/>
    </xf>
    <xf numFmtId="0" fontId="8" fillId="0" borderId="19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8" fillId="0" borderId="32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9" fillId="0" borderId="3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0" fillId="4" borderId="1" xfId="0" applyFill="1" applyBorder="1"/>
    <xf numFmtId="0" fontId="12" fillId="0" borderId="1" xfId="0" applyFont="1" applyBorder="1"/>
    <xf numFmtId="0" fontId="4" fillId="0" borderId="1" xfId="0" applyFont="1" applyBorder="1" applyAlignment="1">
      <alignment wrapText="1"/>
    </xf>
    <xf numFmtId="2" fontId="0" fillId="0" borderId="1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/>
    <xf numFmtId="0" fontId="0" fillId="0" borderId="31" xfId="0" applyBorder="1" applyAlignment="1">
      <alignment horizontal="center"/>
    </xf>
    <xf numFmtId="0" fontId="0" fillId="0" borderId="31" xfId="0" applyBorder="1"/>
    <xf numFmtId="0" fontId="0" fillId="0" borderId="1" xfId="0" applyFill="1" applyBorder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0" fillId="4" borderId="0" xfId="0" applyFill="1"/>
    <xf numFmtId="0" fontId="0" fillId="4" borderId="1" xfId="0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8" fillId="0" borderId="19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0" fillId="0" borderId="17" xfId="0" applyBorder="1"/>
    <xf numFmtId="0" fontId="0" fillId="4" borderId="17" xfId="0" applyFill="1" applyBorder="1"/>
    <xf numFmtId="0" fontId="16" fillId="0" borderId="43" xfId="0" applyFont="1" applyBorder="1" applyAlignment="1">
      <alignment horizontal="center" vertical="top" wrapText="1"/>
    </xf>
    <xf numFmtId="0" fontId="16" fillId="0" borderId="44" xfId="0" applyFont="1" applyBorder="1" applyAlignment="1">
      <alignment vertical="top" wrapText="1"/>
    </xf>
    <xf numFmtId="0" fontId="19" fillId="0" borderId="1" xfId="0" applyFont="1" applyBorder="1"/>
    <xf numFmtId="0" fontId="20" fillId="0" borderId="1" xfId="0" applyFont="1" applyBorder="1"/>
    <xf numFmtId="2" fontId="0" fillId="0" borderId="1" xfId="0" applyNumberFormat="1" applyFill="1" applyBorder="1"/>
    <xf numFmtId="0" fontId="19" fillId="4" borderId="1" xfId="0" applyFont="1" applyFill="1" applyBorder="1"/>
    <xf numFmtId="0" fontId="0" fillId="0" borderId="31" xfId="0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/>
    <xf numFmtId="0" fontId="12" fillId="4" borderId="0" xfId="0" applyFont="1" applyFill="1"/>
    <xf numFmtId="2" fontId="0" fillId="0" borderId="0" xfId="0" applyNumberFormat="1"/>
    <xf numFmtId="0" fontId="22" fillId="0" borderId="0" xfId="0" applyFont="1"/>
    <xf numFmtId="0" fontId="16" fillId="0" borderId="45" xfId="0" applyFont="1" applyBorder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23" fillId="0" borderId="46" xfId="0" applyFont="1" applyBorder="1" applyAlignment="1">
      <alignment horizontal="center" vertical="top" wrapText="1"/>
    </xf>
    <xf numFmtId="0" fontId="23" fillId="0" borderId="43" xfId="0" applyFont="1" applyBorder="1" applyAlignment="1">
      <alignment horizontal="center" vertical="top" wrapText="1"/>
    </xf>
    <xf numFmtId="0" fontId="24" fillId="0" borderId="0" xfId="0" applyFont="1"/>
    <xf numFmtId="0" fontId="0" fillId="4" borderId="0" xfId="0" applyFill="1" applyBorder="1" applyAlignment="1">
      <alignment horizontal="center"/>
    </xf>
    <xf numFmtId="0" fontId="11" fillId="0" borderId="0" xfId="0" applyFont="1"/>
    <xf numFmtId="0" fontId="12" fillId="0" borderId="2" xfId="0" applyFont="1" applyBorder="1"/>
    <xf numFmtId="0" fontId="25" fillId="0" borderId="0" xfId="0" applyFont="1"/>
    <xf numFmtId="0" fontId="26" fillId="0" borderId="2" xfId="0" applyFont="1" applyBorder="1"/>
    <xf numFmtId="0" fontId="11" fillId="0" borderId="1" xfId="0" applyFont="1" applyBorder="1" applyAlignment="1">
      <alignment wrapText="1"/>
    </xf>
    <xf numFmtId="0" fontId="0" fillId="0" borderId="1" xfId="0" applyNumberFormat="1" applyBorder="1"/>
    <xf numFmtId="0" fontId="27" fillId="0" borderId="1" xfId="0" applyFont="1" applyFill="1" applyBorder="1"/>
    <xf numFmtId="0" fontId="1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0" fillId="0" borderId="38" xfId="0" applyBorder="1" applyAlignment="1">
      <alignment vertical="top" wrapText="1"/>
    </xf>
    <xf numFmtId="0" fontId="0" fillId="0" borderId="39" xfId="0" applyBorder="1" applyAlignment="1">
      <alignment wrapText="1"/>
    </xf>
    <xf numFmtId="0" fontId="0" fillId="0" borderId="41" xfId="0" applyBorder="1" applyAlignment="1">
      <alignment vertical="top" wrapText="1"/>
    </xf>
    <xf numFmtId="0" fontId="0" fillId="0" borderId="42" xfId="0" applyBorder="1" applyAlignment="1">
      <alignment wrapText="1"/>
    </xf>
    <xf numFmtId="0" fontId="0" fillId="0" borderId="40" xfId="0" applyBorder="1" applyAlignment="1">
      <alignment vertical="top"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vertical="top"/>
    </xf>
    <xf numFmtId="0" fontId="0" fillId="0" borderId="20" xfId="0" applyBorder="1" applyAlignment="1"/>
    <xf numFmtId="0" fontId="14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0" fillId="0" borderId="33" xfId="0" applyBorder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2" fontId="5" fillId="0" borderId="16" xfId="0" applyNumberFormat="1" applyFont="1" applyBorder="1" applyAlignment="1">
      <alignment horizontal="center" vertical="top" wrapText="1"/>
    </xf>
    <xf numFmtId="2" fontId="6" fillId="0" borderId="17" xfId="0" applyNumberFormat="1" applyFont="1" applyBorder="1" applyAlignment="1">
      <alignment horizontal="center"/>
    </xf>
    <xf numFmtId="0" fontId="5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/>
    <xf numFmtId="0" fontId="5" fillId="0" borderId="1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/>
    <xf numFmtId="2" fontId="5" fillId="3" borderId="5" xfId="0" applyNumberFormat="1" applyFont="1" applyFill="1" applyBorder="1" applyAlignment="1">
      <alignment horizontal="center" vertical="top" wrapText="1"/>
    </xf>
    <xf numFmtId="2" fontId="6" fillId="3" borderId="6" xfId="0" applyNumberFormat="1" applyFont="1" applyFill="1" applyBorder="1" applyAlignment="1">
      <alignment horizontal="center"/>
    </xf>
    <xf numFmtId="2" fontId="5" fillId="3" borderId="9" xfId="0" applyNumberFormat="1" applyFont="1" applyFill="1" applyBorder="1" applyAlignment="1">
      <alignment horizontal="center" vertical="top" wrapText="1"/>
    </xf>
    <xf numFmtId="2" fontId="6" fillId="3" borderId="10" xfId="0" applyNumberFormat="1" applyFont="1" applyFill="1" applyBorder="1" applyAlignment="1">
      <alignment horizontal="center"/>
    </xf>
    <xf numFmtId="166" fontId="5" fillId="0" borderId="5" xfId="0" applyNumberFormat="1" applyFont="1" applyBorder="1" applyAlignment="1">
      <alignment horizontal="center" vertical="top" wrapText="1"/>
    </xf>
    <xf numFmtId="166" fontId="6" fillId="0" borderId="6" xfId="0" applyNumberFormat="1" applyFont="1" applyBorder="1" applyAlignment="1">
      <alignment horizontal="center" wrapText="1"/>
    </xf>
    <xf numFmtId="166" fontId="5" fillId="0" borderId="9" xfId="0" applyNumberFormat="1" applyFont="1" applyBorder="1" applyAlignment="1">
      <alignment horizontal="center" vertical="top" wrapText="1"/>
    </xf>
    <xf numFmtId="166" fontId="6" fillId="0" borderId="10" xfId="0" applyNumberFormat="1" applyFont="1" applyBorder="1" applyAlignment="1">
      <alignment horizontal="center" wrapText="1"/>
    </xf>
    <xf numFmtId="0" fontId="5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16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2" fontId="6" fillId="3" borderId="1" xfId="0" applyNumberFormat="1" applyFont="1" applyFill="1" applyBorder="1" applyAlignment="1">
      <alignment horizontal="center" wrapText="1"/>
    </xf>
    <xf numFmtId="2" fontId="5" fillId="0" borderId="5" xfId="0" applyNumberFormat="1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 vertical="top" wrapText="1"/>
    </xf>
    <xf numFmtId="2" fontId="6" fillId="0" borderId="1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2" fillId="0" borderId="31" xfId="0" applyFont="1" applyBorder="1" applyAlignment="1">
      <alignment horizontal="left" wrapText="1"/>
    </xf>
    <xf numFmtId="164" fontId="8" fillId="0" borderId="1" xfId="0" applyNumberFormat="1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wrapText="1"/>
    </xf>
    <xf numFmtId="164" fontId="8" fillId="0" borderId="20" xfId="0" applyNumberFormat="1" applyFont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wrapText="1"/>
    </xf>
    <xf numFmtId="164" fontId="8" fillId="2" borderId="20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23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9" fillId="0" borderId="25" xfId="0" applyFont="1" applyBorder="1" applyAlignment="1">
      <alignment horizontal="center" vertical="top" wrapText="1"/>
    </xf>
    <xf numFmtId="0" fontId="9" fillId="0" borderId="26" xfId="0" applyFont="1" applyBorder="1" applyAlignment="1">
      <alignment wrapText="1"/>
    </xf>
    <xf numFmtId="0" fontId="9" fillId="0" borderId="27" xfId="0" applyFont="1" applyBorder="1" applyAlignment="1">
      <alignment wrapText="1"/>
    </xf>
    <xf numFmtId="164" fontId="8" fillId="2" borderId="5" xfId="0" applyNumberFormat="1" applyFont="1" applyFill="1" applyBorder="1" applyAlignment="1">
      <alignment horizontal="center" vertical="top" wrapText="1"/>
    </xf>
    <xf numFmtId="164" fontId="0" fillId="2" borderId="33" xfId="0" applyNumberFormat="1" applyFill="1" applyBorder="1" applyAlignment="1">
      <alignment horizontal="center" wrapText="1"/>
    </xf>
    <xf numFmtId="164" fontId="0" fillId="2" borderId="34" xfId="0" applyNumberFormat="1" applyFill="1" applyBorder="1" applyAlignment="1">
      <alignment horizontal="center" wrapText="1"/>
    </xf>
    <xf numFmtId="164" fontId="8" fillId="2" borderId="36" xfId="0" applyNumberFormat="1" applyFont="1" applyFill="1" applyBorder="1" applyAlignment="1">
      <alignment horizontal="center" vertical="top" wrapText="1"/>
    </xf>
    <xf numFmtId="164" fontId="8" fillId="2" borderId="36" xfId="0" applyNumberFormat="1" applyFont="1" applyFill="1" applyBorder="1" applyAlignment="1">
      <alignment horizontal="center" wrapText="1"/>
    </xf>
    <xf numFmtId="164" fontId="8" fillId="2" borderId="37" xfId="0" applyNumberFormat="1" applyFont="1" applyFill="1" applyBorder="1" applyAlignment="1">
      <alignment horizontal="center" wrapText="1"/>
    </xf>
    <xf numFmtId="0" fontId="8" fillId="0" borderId="28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164" fontId="8" fillId="0" borderId="29" xfId="0" applyNumberFormat="1" applyFont="1" applyBorder="1" applyAlignment="1">
      <alignment horizontal="center" vertical="top" wrapText="1"/>
    </xf>
    <xf numFmtId="164" fontId="8" fillId="0" borderId="29" xfId="0" applyNumberFormat="1" applyFont="1" applyBorder="1" applyAlignment="1">
      <alignment horizontal="center" wrapText="1"/>
    </xf>
    <xf numFmtId="164" fontId="8" fillId="0" borderId="30" xfId="0" applyNumberFormat="1" applyFont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center" vertical="top" wrapText="1"/>
    </xf>
    <xf numFmtId="164" fontId="8" fillId="3" borderId="1" xfId="0" applyNumberFormat="1" applyFont="1" applyFill="1" applyBorder="1" applyAlignment="1">
      <alignment horizontal="center" wrapText="1"/>
    </xf>
    <xf numFmtId="164" fontId="8" fillId="3" borderId="20" xfId="0" applyNumberFormat="1" applyFont="1" applyFill="1" applyBorder="1" applyAlignment="1">
      <alignment horizontal="center" wrapText="1"/>
    </xf>
    <xf numFmtId="164" fontId="8" fillId="0" borderId="16" xfId="0" applyNumberFormat="1" applyFont="1" applyBorder="1" applyAlignment="1">
      <alignment horizontal="center" vertical="top" wrapText="1"/>
    </xf>
    <xf numFmtId="164" fontId="8" fillId="0" borderId="31" xfId="0" applyNumberFormat="1" applyFont="1" applyBorder="1" applyAlignment="1">
      <alignment horizontal="center" vertical="top" wrapText="1"/>
    </xf>
    <xf numFmtId="164" fontId="8" fillId="0" borderId="18" xfId="0" applyNumberFormat="1" applyFont="1" applyBorder="1" applyAlignment="1">
      <alignment horizontal="center" vertical="top" wrapText="1"/>
    </xf>
    <xf numFmtId="164" fontId="8" fillId="0" borderId="31" xfId="0" applyNumberFormat="1" applyFont="1" applyBorder="1" applyAlignment="1">
      <alignment horizontal="center" wrapText="1"/>
    </xf>
    <xf numFmtId="164" fontId="8" fillId="0" borderId="18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3"/>
  <sheetViews>
    <sheetView view="pageBreakPreview" topLeftCell="A11" zoomScaleSheetLayoutView="100" workbookViewId="0">
      <selection activeCell="D30" sqref="D30"/>
    </sheetView>
  </sheetViews>
  <sheetFormatPr defaultRowHeight="15"/>
  <cols>
    <col min="2" max="2" width="25" bestFit="1" customWidth="1"/>
    <col min="3" max="3" width="26.28515625" customWidth="1"/>
    <col min="4" max="4" width="21" customWidth="1"/>
    <col min="5" max="5" width="17.28515625" customWidth="1"/>
    <col min="6" max="6" width="16.28515625" customWidth="1"/>
  </cols>
  <sheetData>
    <row r="1" spans="2:6" ht="15.75">
      <c r="E1" s="83" t="s">
        <v>7</v>
      </c>
      <c r="F1" s="83"/>
    </row>
    <row r="3" spans="2:6" ht="18.75">
      <c r="B3" s="93" t="s">
        <v>0</v>
      </c>
      <c r="C3" s="93"/>
      <c r="D3" s="93"/>
      <c r="E3" s="93"/>
      <c r="F3" s="93"/>
    </row>
    <row r="4" spans="2:6" ht="18.75">
      <c r="B4" s="94" t="s">
        <v>165</v>
      </c>
      <c r="C4" s="94"/>
      <c r="D4" s="94"/>
      <c r="E4" s="94"/>
      <c r="F4" s="94"/>
    </row>
    <row r="5" spans="2:6" ht="18.75">
      <c r="B5" s="35"/>
      <c r="C5" s="84" t="s">
        <v>57</v>
      </c>
      <c r="D5" s="84"/>
      <c r="E5" s="84"/>
      <c r="F5" s="35"/>
    </row>
    <row r="6" spans="2:6" ht="18.75">
      <c r="B6" s="2"/>
      <c r="C6" s="2"/>
      <c r="D6" s="2"/>
      <c r="E6" s="2"/>
    </row>
    <row r="7" spans="2:6" ht="86.25">
      <c r="B7" s="6" t="s">
        <v>1</v>
      </c>
      <c r="C7" s="6" t="s">
        <v>2</v>
      </c>
      <c r="D7" s="6" t="s">
        <v>3</v>
      </c>
      <c r="E7" s="6" t="s">
        <v>145</v>
      </c>
      <c r="F7" s="6" t="s">
        <v>4</v>
      </c>
    </row>
    <row r="8" spans="2:6" ht="15.75">
      <c r="B8" s="7">
        <v>1</v>
      </c>
      <c r="C8" s="7">
        <v>2</v>
      </c>
      <c r="D8" s="7">
        <v>2</v>
      </c>
      <c r="E8" s="7">
        <v>4</v>
      </c>
      <c r="F8" s="7">
        <v>5</v>
      </c>
    </row>
    <row r="9" spans="2:6">
      <c r="B9" s="8" t="s">
        <v>70</v>
      </c>
      <c r="C9" s="39">
        <f>E21</f>
        <v>31484.964</v>
      </c>
      <c r="D9" s="1">
        <f>G21</f>
        <v>8882</v>
      </c>
      <c r="E9" s="46">
        <f>D32*60</f>
        <v>247.79999999999998</v>
      </c>
      <c r="F9" s="39">
        <f>C9/D9*E9</f>
        <v>878.40284611573964</v>
      </c>
    </row>
    <row r="10" spans="2:6">
      <c r="B10" s="1" t="s">
        <v>5</v>
      </c>
      <c r="C10" s="9" t="s">
        <v>6</v>
      </c>
      <c r="D10" s="9" t="s">
        <v>6</v>
      </c>
      <c r="E10" s="9" t="s">
        <v>6</v>
      </c>
      <c r="F10" s="39">
        <f>SUM(F9:F9)</f>
        <v>878.40284611573964</v>
      </c>
    </row>
    <row r="11" spans="2:6">
      <c r="B11" s="40"/>
      <c r="C11" s="41"/>
      <c r="D11" s="41"/>
      <c r="E11" s="41"/>
      <c r="F11" s="40"/>
    </row>
    <row r="12" spans="2:6">
      <c r="B12" s="40" t="s">
        <v>58</v>
      </c>
      <c r="C12" s="42"/>
      <c r="D12" s="75" t="s">
        <v>163</v>
      </c>
      <c r="E12" s="41"/>
      <c r="F12" s="40"/>
    </row>
    <row r="13" spans="2:6">
      <c r="B13" s="43" t="s">
        <v>59</v>
      </c>
      <c r="C13" s="44"/>
      <c r="D13" s="3" t="s">
        <v>60</v>
      </c>
      <c r="E13" s="3"/>
    </row>
    <row r="14" spans="2:6">
      <c r="C14" s="3"/>
      <c r="D14" s="3"/>
      <c r="E14" s="3"/>
    </row>
    <row r="17" spans="2:7">
      <c r="B17" s="36" t="s">
        <v>49</v>
      </c>
    </row>
    <row r="18" spans="2:7" ht="64.5">
      <c r="B18" s="1"/>
      <c r="C18" s="37" t="s">
        <v>50</v>
      </c>
      <c r="D18" s="1" t="s">
        <v>51</v>
      </c>
      <c r="E18" s="1" t="s">
        <v>52</v>
      </c>
      <c r="F18" s="38" t="s">
        <v>53</v>
      </c>
      <c r="G18" s="38" t="s">
        <v>3</v>
      </c>
    </row>
    <row r="19" spans="2:7">
      <c r="B19" s="1" t="s">
        <v>48</v>
      </c>
      <c r="C19" s="36">
        <v>37026</v>
      </c>
      <c r="D19" s="47">
        <f>C19*0.302</f>
        <v>11181.851999999999</v>
      </c>
      <c r="E19" s="47">
        <f>C19+D19</f>
        <v>48207.851999999999</v>
      </c>
      <c r="F19" s="1">
        <v>164.5</v>
      </c>
      <c r="G19" s="1">
        <f>F19*60</f>
        <v>9870</v>
      </c>
    </row>
    <row r="20" spans="2:7">
      <c r="B20" s="98" t="s">
        <v>106</v>
      </c>
      <c r="C20" s="99"/>
      <c r="D20" s="99"/>
      <c r="E20" s="36">
        <v>1</v>
      </c>
      <c r="F20" s="1" t="s">
        <v>79</v>
      </c>
      <c r="G20" s="1">
        <f>E19*E20</f>
        <v>48207.851999999999</v>
      </c>
    </row>
    <row r="21" spans="2:7">
      <c r="B21" s="8" t="s">
        <v>70</v>
      </c>
      <c r="C21" s="36">
        <v>24182</v>
      </c>
      <c r="D21" s="47">
        <f>C21*0.302</f>
        <v>7302.9639999999999</v>
      </c>
      <c r="E21" s="47">
        <f>C21+D21</f>
        <v>31484.964</v>
      </c>
      <c r="F21" s="1" t="s">
        <v>73</v>
      </c>
      <c r="G21" s="1">
        <v>8882</v>
      </c>
    </row>
    <row r="22" spans="2:7">
      <c r="B22" s="1" t="s">
        <v>56</v>
      </c>
      <c r="C22" s="36">
        <v>24815</v>
      </c>
      <c r="D22" s="47">
        <f>C22*0.302</f>
        <v>7494.13</v>
      </c>
      <c r="E22" s="47">
        <f>C22+D22</f>
        <v>32309.13</v>
      </c>
      <c r="F22" s="1" t="s">
        <v>79</v>
      </c>
      <c r="G22" s="1">
        <f>E22*F23</f>
        <v>387709.56</v>
      </c>
    </row>
    <row r="23" spans="2:7">
      <c r="B23" s="95" t="s">
        <v>78</v>
      </c>
      <c r="C23" s="96"/>
      <c r="D23" s="96"/>
      <c r="E23" s="97"/>
      <c r="F23" s="36">
        <v>12</v>
      </c>
      <c r="G23" s="1"/>
    </row>
    <row r="25" spans="2:7" ht="15.75" thickBot="1"/>
    <row r="26" spans="2:7">
      <c r="B26" s="85" t="s">
        <v>61</v>
      </c>
      <c r="C26" s="86"/>
      <c r="D26" s="36"/>
    </row>
    <row r="27" spans="2:7">
      <c r="B27" s="89" t="s">
        <v>62</v>
      </c>
      <c r="C27" s="90"/>
      <c r="D27" s="36">
        <v>10</v>
      </c>
      <c r="E27" t="s">
        <v>75</v>
      </c>
    </row>
    <row r="28" spans="2:7">
      <c r="B28" s="91" t="s">
        <v>63</v>
      </c>
      <c r="C28" s="92"/>
      <c r="D28" s="36">
        <v>2</v>
      </c>
      <c r="E28">
        <f>D28*4</f>
        <v>8</v>
      </c>
    </row>
    <row r="29" spans="2:7" ht="15.75" thickBot="1">
      <c r="B29" s="87" t="s">
        <v>64</v>
      </c>
      <c r="C29" s="88"/>
      <c r="D29" s="36">
        <v>30</v>
      </c>
    </row>
    <row r="31" spans="2:7">
      <c r="B31" s="1" t="s">
        <v>65</v>
      </c>
      <c r="C31" s="1" t="s">
        <v>67</v>
      </c>
      <c r="D31" s="39">
        <f>D29/60*D28</f>
        <v>1</v>
      </c>
    </row>
    <row r="32" spans="2:7">
      <c r="B32" s="1"/>
      <c r="C32" s="1" t="s">
        <v>68</v>
      </c>
      <c r="D32" s="39">
        <f>D31*4.13</f>
        <v>4.13</v>
      </c>
    </row>
    <row r="33" spans="2:4">
      <c r="B33" s="1"/>
      <c r="C33" s="1" t="s">
        <v>69</v>
      </c>
      <c r="D33" s="1">
        <f>D32*12</f>
        <v>49.56</v>
      </c>
    </row>
  </sheetData>
  <mergeCells count="10">
    <mergeCell ref="E1:F1"/>
    <mergeCell ref="C5:E5"/>
    <mergeCell ref="B26:C26"/>
    <mergeCell ref="B29:C29"/>
    <mergeCell ref="B27:C27"/>
    <mergeCell ref="B28:C28"/>
    <mergeCell ref="B3:F3"/>
    <mergeCell ref="B4:F4"/>
    <mergeCell ref="B23:E23"/>
    <mergeCell ref="B20:D20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  <rowBreaks count="1" manualBreakCount="1">
    <brk id="1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J41"/>
  <sheetViews>
    <sheetView topLeftCell="A10" workbookViewId="0">
      <selection activeCell="E34" sqref="E34"/>
    </sheetView>
  </sheetViews>
  <sheetFormatPr defaultRowHeight="15"/>
  <cols>
    <col min="2" max="2" width="22.28515625" bestFit="1" customWidth="1"/>
    <col min="3" max="3" width="7.85546875" customWidth="1"/>
    <col min="4" max="4" width="14.28515625" customWidth="1"/>
    <col min="5" max="5" width="12.85546875" customWidth="1"/>
    <col min="6" max="6" width="14.85546875" customWidth="1"/>
    <col min="7" max="8" width="9.140625" customWidth="1"/>
    <col min="9" max="9" width="36.28515625" customWidth="1"/>
    <col min="13" max="13" width="49.85546875" customWidth="1"/>
  </cols>
  <sheetData>
    <row r="1" spans="2:10" ht="15.75">
      <c r="E1" s="83" t="s">
        <v>12</v>
      </c>
      <c r="F1" s="83"/>
    </row>
    <row r="2" spans="2:10" ht="18.75">
      <c r="B2" s="2"/>
      <c r="C2" s="2"/>
      <c r="D2" s="2"/>
      <c r="E2" s="2"/>
      <c r="F2" s="2"/>
    </row>
    <row r="3" spans="2:10" ht="18.75">
      <c r="B3" s="100" t="s">
        <v>8</v>
      </c>
      <c r="C3" s="100"/>
      <c r="D3" s="100"/>
      <c r="E3" s="100"/>
      <c r="F3" s="100"/>
    </row>
    <row r="4" spans="2:10" ht="18.75">
      <c r="B4" s="101" t="str">
        <f>таб2!B4</f>
        <v>Кружок " Изобразительного творчества"</v>
      </c>
      <c r="C4" s="101"/>
      <c r="D4" s="101"/>
      <c r="E4" s="101"/>
      <c r="F4" s="101"/>
    </row>
    <row r="5" spans="2:10" ht="18.75" customHeight="1">
      <c r="B5" s="84" t="s">
        <v>57</v>
      </c>
      <c r="C5" s="84"/>
      <c r="D5" s="84"/>
      <c r="E5" s="84"/>
      <c r="F5" s="84"/>
    </row>
    <row r="6" spans="2:10" ht="18.75">
      <c r="B6" s="2"/>
      <c r="C6" s="2"/>
      <c r="D6" s="2"/>
      <c r="E6" s="2"/>
      <c r="F6" s="2"/>
    </row>
    <row r="7" spans="2:10" ht="96.75" customHeight="1">
      <c r="B7" s="11" t="s">
        <v>9</v>
      </c>
      <c r="C7" s="11" t="s">
        <v>10</v>
      </c>
      <c r="D7" s="11" t="s">
        <v>74</v>
      </c>
      <c r="E7" s="11" t="s">
        <v>55</v>
      </c>
      <c r="F7" s="11" t="s">
        <v>11</v>
      </c>
      <c r="G7" s="4"/>
      <c r="H7" s="4"/>
      <c r="I7" s="4"/>
      <c r="J7" s="4"/>
    </row>
    <row r="8" spans="2:10">
      <c r="B8" s="50">
        <v>1</v>
      </c>
      <c r="C8" s="50">
        <v>2</v>
      </c>
      <c r="D8" s="50">
        <v>3</v>
      </c>
      <c r="E8" s="50">
        <v>4</v>
      </c>
      <c r="F8" s="50">
        <v>5</v>
      </c>
      <c r="G8" s="4"/>
      <c r="H8" s="4"/>
      <c r="I8" s="4"/>
      <c r="J8" s="4"/>
    </row>
    <row r="9" spans="2:10">
      <c r="B9" s="1" t="s">
        <v>166</v>
      </c>
      <c r="C9" s="1" t="s">
        <v>54</v>
      </c>
      <c r="D9" s="1">
        <v>10</v>
      </c>
      <c r="E9" s="1">
        <v>50</v>
      </c>
      <c r="F9" s="1">
        <f>D9*E9</f>
        <v>500</v>
      </c>
    </row>
    <row r="10" spans="2:10">
      <c r="B10" s="1" t="s">
        <v>167</v>
      </c>
      <c r="C10" s="1" t="s">
        <v>54</v>
      </c>
      <c r="D10" s="1">
        <v>10</v>
      </c>
      <c r="E10" s="1">
        <v>80</v>
      </c>
      <c r="F10" s="1">
        <f t="shared" ref="F10:F34" si="0">D10*E10</f>
        <v>800</v>
      </c>
    </row>
    <row r="11" spans="2:10">
      <c r="B11" s="1" t="s">
        <v>168</v>
      </c>
      <c r="C11" s="1" t="s">
        <v>54</v>
      </c>
      <c r="D11" s="1">
        <v>10</v>
      </c>
      <c r="E11" s="1">
        <v>100</v>
      </c>
      <c r="F11" s="1">
        <f t="shared" si="0"/>
        <v>1000</v>
      </c>
    </row>
    <row r="12" spans="2:10">
      <c r="B12" s="5" t="s">
        <v>169</v>
      </c>
      <c r="C12" s="1" t="s">
        <v>54</v>
      </c>
      <c r="D12" s="1">
        <v>10</v>
      </c>
      <c r="E12" s="1">
        <v>80</v>
      </c>
      <c r="F12" s="1">
        <f t="shared" si="0"/>
        <v>800</v>
      </c>
    </row>
    <row r="13" spans="2:10">
      <c r="B13" s="1" t="s">
        <v>170</v>
      </c>
      <c r="C13" s="1" t="s">
        <v>54</v>
      </c>
      <c r="D13" s="1">
        <v>10</v>
      </c>
      <c r="E13" s="1">
        <v>40</v>
      </c>
      <c r="F13" s="1">
        <f t="shared" si="0"/>
        <v>400</v>
      </c>
    </row>
    <row r="14" spans="2:10">
      <c r="B14" s="5" t="s">
        <v>171</v>
      </c>
      <c r="C14" s="1" t="s">
        <v>54</v>
      </c>
      <c r="D14" s="1">
        <v>3</v>
      </c>
      <c r="E14" s="1">
        <v>150</v>
      </c>
      <c r="F14" s="1">
        <f t="shared" si="0"/>
        <v>450</v>
      </c>
    </row>
    <row r="15" spans="2:10">
      <c r="B15" s="5" t="s">
        <v>172</v>
      </c>
      <c r="C15" s="1" t="s">
        <v>54</v>
      </c>
      <c r="D15" s="1">
        <v>20</v>
      </c>
      <c r="E15" s="1">
        <v>30</v>
      </c>
      <c r="F15" s="1">
        <f t="shared" si="0"/>
        <v>600</v>
      </c>
    </row>
    <row r="16" spans="2:10">
      <c r="B16" s="1" t="s">
        <v>173</v>
      </c>
      <c r="C16" s="1" t="s">
        <v>54</v>
      </c>
      <c r="D16" s="1">
        <v>10</v>
      </c>
      <c r="E16" s="1">
        <v>20</v>
      </c>
      <c r="F16" s="1">
        <f t="shared" si="0"/>
        <v>200</v>
      </c>
    </row>
    <row r="17" spans="2:6">
      <c r="B17" s="1" t="s">
        <v>174</v>
      </c>
      <c r="C17" s="1" t="s">
        <v>54</v>
      </c>
      <c r="D17" s="1">
        <v>10</v>
      </c>
      <c r="E17" s="1">
        <v>200</v>
      </c>
      <c r="F17" s="1">
        <f t="shared" si="0"/>
        <v>2000</v>
      </c>
    </row>
    <row r="18" spans="2:6">
      <c r="B18" s="1" t="s">
        <v>175</v>
      </c>
      <c r="C18" s="1" t="s">
        <v>54</v>
      </c>
      <c r="D18" s="1">
        <v>20</v>
      </c>
      <c r="E18" s="1">
        <v>150</v>
      </c>
      <c r="F18" s="1">
        <f t="shared" si="0"/>
        <v>3000</v>
      </c>
    </row>
    <row r="19" spans="2:6">
      <c r="B19" s="1" t="s">
        <v>176</v>
      </c>
      <c r="C19" s="1" t="s">
        <v>54</v>
      </c>
      <c r="D19" s="1">
        <v>10</v>
      </c>
      <c r="E19" s="1">
        <v>100</v>
      </c>
      <c r="F19" s="1">
        <f t="shared" si="0"/>
        <v>1000</v>
      </c>
    </row>
    <row r="20" spans="2:6">
      <c r="B20" s="1" t="s">
        <v>177</v>
      </c>
      <c r="C20" s="1" t="s">
        <v>54</v>
      </c>
      <c r="D20" s="1">
        <v>10</v>
      </c>
      <c r="E20" s="1">
        <v>150</v>
      </c>
      <c r="F20" s="1">
        <f t="shared" si="0"/>
        <v>1500</v>
      </c>
    </row>
    <row r="21" spans="2:6">
      <c r="B21" s="1" t="s">
        <v>178</v>
      </c>
      <c r="C21" s="1" t="s">
        <v>54</v>
      </c>
      <c r="D21" s="1">
        <v>10</v>
      </c>
      <c r="E21" s="1">
        <v>15</v>
      </c>
      <c r="F21" s="1">
        <f t="shared" si="0"/>
        <v>150</v>
      </c>
    </row>
    <row r="22" spans="2:6">
      <c r="B22" s="1" t="s">
        <v>179</v>
      </c>
      <c r="C22" s="1" t="s">
        <v>54</v>
      </c>
      <c r="D22" s="1">
        <v>20</v>
      </c>
      <c r="E22" s="1">
        <v>30</v>
      </c>
      <c r="F22" s="1">
        <f t="shared" si="0"/>
        <v>600</v>
      </c>
    </row>
    <row r="23" spans="2:6">
      <c r="B23" s="1" t="s">
        <v>180</v>
      </c>
      <c r="C23" s="1" t="s">
        <v>54</v>
      </c>
      <c r="D23" s="1">
        <v>30</v>
      </c>
      <c r="E23" s="1">
        <v>15</v>
      </c>
      <c r="F23" s="1">
        <f t="shared" si="0"/>
        <v>450</v>
      </c>
    </row>
    <row r="24" spans="2:6">
      <c r="B24" s="1" t="s">
        <v>181</v>
      </c>
      <c r="C24" s="1" t="s">
        <v>54</v>
      </c>
      <c r="D24" s="1">
        <v>10</v>
      </c>
      <c r="E24" s="1">
        <v>50</v>
      </c>
      <c r="F24" s="1">
        <f t="shared" si="0"/>
        <v>500</v>
      </c>
    </row>
    <row r="25" spans="2:6">
      <c r="B25" s="1" t="s">
        <v>182</v>
      </c>
      <c r="C25" s="1" t="s">
        <v>54</v>
      </c>
      <c r="D25" s="1">
        <v>10</v>
      </c>
      <c r="E25" s="1">
        <v>50</v>
      </c>
      <c r="F25" s="1">
        <f t="shared" si="0"/>
        <v>500</v>
      </c>
    </row>
    <row r="26" spans="2:6">
      <c r="B26" s="1" t="s">
        <v>183</v>
      </c>
      <c r="C26" s="1" t="s">
        <v>54</v>
      </c>
      <c r="D26" s="1">
        <v>30</v>
      </c>
      <c r="E26" s="1">
        <v>80</v>
      </c>
      <c r="F26" s="1">
        <f t="shared" si="0"/>
        <v>2400</v>
      </c>
    </row>
    <row r="27" spans="2:6">
      <c r="B27" s="1" t="s">
        <v>184</v>
      </c>
      <c r="C27" s="1" t="s">
        <v>54</v>
      </c>
      <c r="D27" s="1">
        <v>10</v>
      </c>
      <c r="E27" s="1">
        <v>150</v>
      </c>
      <c r="F27" s="1">
        <f t="shared" si="0"/>
        <v>1500</v>
      </c>
    </row>
    <row r="28" spans="2:6">
      <c r="B28" s="1" t="s">
        <v>185</v>
      </c>
      <c r="C28" s="1" t="s">
        <v>191</v>
      </c>
      <c r="D28" s="1">
        <v>100</v>
      </c>
      <c r="E28" s="1">
        <v>40</v>
      </c>
      <c r="F28" s="1">
        <f t="shared" si="0"/>
        <v>4000</v>
      </c>
    </row>
    <row r="29" spans="2:6">
      <c r="B29" s="1" t="s">
        <v>186</v>
      </c>
      <c r="C29" s="1" t="s">
        <v>54</v>
      </c>
      <c r="D29" s="1">
        <v>10</v>
      </c>
      <c r="E29" s="1">
        <v>50</v>
      </c>
      <c r="F29" s="1">
        <f t="shared" si="0"/>
        <v>500</v>
      </c>
    </row>
    <row r="30" spans="2:6">
      <c r="B30" s="1" t="s">
        <v>187</v>
      </c>
      <c r="C30" s="1" t="s">
        <v>54</v>
      </c>
      <c r="D30" s="1">
        <v>10</v>
      </c>
      <c r="E30" s="1">
        <v>65</v>
      </c>
      <c r="F30" s="1">
        <f t="shared" si="0"/>
        <v>650</v>
      </c>
    </row>
    <row r="31" spans="2:6">
      <c r="B31" s="1" t="s">
        <v>188</v>
      </c>
      <c r="C31" s="1" t="s">
        <v>54</v>
      </c>
      <c r="D31" s="1">
        <v>10</v>
      </c>
      <c r="E31" s="1">
        <v>450</v>
      </c>
      <c r="F31" s="1">
        <f t="shared" si="0"/>
        <v>4500</v>
      </c>
    </row>
    <row r="32" spans="2:6">
      <c r="B32" s="1" t="s">
        <v>189</v>
      </c>
      <c r="C32" s="1" t="s">
        <v>54</v>
      </c>
      <c r="D32" s="1">
        <v>20</v>
      </c>
      <c r="E32" s="1">
        <v>5</v>
      </c>
      <c r="F32" s="1">
        <f t="shared" si="0"/>
        <v>100</v>
      </c>
    </row>
    <row r="33" spans="2:6">
      <c r="B33" s="1" t="s">
        <v>190</v>
      </c>
      <c r="C33" s="1" t="s">
        <v>54</v>
      </c>
      <c r="D33" s="1">
        <v>30</v>
      </c>
      <c r="E33" s="1">
        <v>100</v>
      </c>
      <c r="F33" s="1">
        <f t="shared" si="0"/>
        <v>3000</v>
      </c>
    </row>
    <row r="34" spans="2:6">
      <c r="B34" s="1"/>
      <c r="C34" s="1"/>
      <c r="D34" s="1"/>
      <c r="E34" s="1"/>
      <c r="F34" s="1">
        <f t="shared" si="0"/>
        <v>0</v>
      </c>
    </row>
    <row r="35" spans="2:6">
      <c r="B35" s="1" t="s">
        <v>5</v>
      </c>
      <c r="C35" s="9" t="s">
        <v>6</v>
      </c>
      <c r="D35" s="9" t="s">
        <v>6</v>
      </c>
      <c r="E35" s="9" t="s">
        <v>6</v>
      </c>
      <c r="F35" s="37">
        <f>SUM(F9:F34)</f>
        <v>31100</v>
      </c>
    </row>
    <row r="40" spans="2:6">
      <c r="B40" s="40" t="s">
        <v>58</v>
      </c>
      <c r="C40" s="42"/>
      <c r="D40" s="42"/>
      <c r="E40" t="str">
        <f>таб2!D12</f>
        <v>М.В. Селиверстова</v>
      </c>
    </row>
    <row r="41" spans="2:6">
      <c r="B41" s="43" t="s">
        <v>59</v>
      </c>
      <c r="C41" s="44"/>
      <c r="D41" s="45"/>
      <c r="E41" s="3" t="s">
        <v>60</v>
      </c>
    </row>
  </sheetData>
  <mergeCells count="4">
    <mergeCell ref="B3:F3"/>
    <mergeCell ref="B4:F4"/>
    <mergeCell ref="E1:F1"/>
    <mergeCell ref="B5:F5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1"/>
  <sheetViews>
    <sheetView topLeftCell="A7" workbookViewId="0">
      <selection activeCell="A23" sqref="A23:G23"/>
    </sheetView>
  </sheetViews>
  <sheetFormatPr defaultRowHeight="15"/>
  <cols>
    <col min="1" max="1" width="22.28515625" customWidth="1"/>
    <col min="2" max="3" width="7.28515625" customWidth="1"/>
    <col min="4" max="4" width="6.5703125" customWidth="1"/>
    <col min="5" max="5" width="7.42578125" customWidth="1"/>
    <col min="6" max="6" width="5.7109375" customWidth="1"/>
    <col min="8" max="8" width="8.42578125" customWidth="1"/>
    <col min="10" max="10" width="7.42578125" customWidth="1"/>
    <col min="11" max="11" width="7.85546875" customWidth="1"/>
    <col min="12" max="12" width="6.7109375" customWidth="1"/>
    <col min="13" max="13" width="8.140625" customWidth="1"/>
  </cols>
  <sheetData>
    <row r="1" spans="1:14">
      <c r="K1" s="102" t="s">
        <v>111</v>
      </c>
      <c r="L1" s="102"/>
      <c r="M1" s="102"/>
      <c r="N1" s="102"/>
    </row>
    <row r="3" spans="1:14" ht="23.25">
      <c r="A3" s="108" t="s">
        <v>85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15.75">
      <c r="A4" s="107" t="s">
        <v>116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4" ht="15.75">
      <c r="A5" s="65" t="s">
        <v>129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>
      <c r="A6" s="74" t="s">
        <v>130</v>
      </c>
    </row>
    <row r="7" spans="1:14" ht="15.75">
      <c r="A7" s="105" t="s">
        <v>132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ht="45">
      <c r="A8" s="70" t="s">
        <v>131</v>
      </c>
      <c r="B8" s="72" t="s">
        <v>87</v>
      </c>
      <c r="C8" s="73" t="s">
        <v>88</v>
      </c>
      <c r="D8" s="73" t="s">
        <v>89</v>
      </c>
      <c r="E8" s="73" t="s">
        <v>90</v>
      </c>
      <c r="F8" s="73" t="s">
        <v>91</v>
      </c>
      <c r="G8" s="73" t="s">
        <v>134</v>
      </c>
      <c r="H8" s="73" t="s">
        <v>92</v>
      </c>
      <c r="I8" s="73" t="s">
        <v>93</v>
      </c>
      <c r="J8" s="73" t="s">
        <v>94</v>
      </c>
      <c r="K8" s="73" t="s">
        <v>117</v>
      </c>
      <c r="L8" s="73" t="s">
        <v>95</v>
      </c>
      <c r="M8" s="73" t="s">
        <v>96</v>
      </c>
      <c r="N8" s="73" t="s">
        <v>97</v>
      </c>
    </row>
    <row r="9" spans="1:14" ht="15.75">
      <c r="A9" s="69" t="s">
        <v>98</v>
      </c>
      <c r="B9" s="56" t="s">
        <v>99</v>
      </c>
      <c r="C9" s="56" t="s">
        <v>99</v>
      </c>
      <c r="D9" s="56" t="s">
        <v>84</v>
      </c>
      <c r="E9" s="56" t="s">
        <v>84</v>
      </c>
      <c r="F9" s="56" t="s">
        <v>84</v>
      </c>
      <c r="G9" s="56" t="s">
        <v>100</v>
      </c>
      <c r="H9" s="56" t="s">
        <v>101</v>
      </c>
      <c r="I9" s="56" t="s">
        <v>102</v>
      </c>
      <c r="J9" s="56" t="s">
        <v>103</v>
      </c>
      <c r="K9" s="56" t="s">
        <v>103</v>
      </c>
      <c r="L9" s="56" t="s">
        <v>103</v>
      </c>
      <c r="M9" s="56" t="s">
        <v>103</v>
      </c>
      <c r="N9" s="56" t="s">
        <v>103</v>
      </c>
    </row>
    <row r="10" spans="1:14" ht="31.5">
      <c r="A10" s="57" t="s">
        <v>133</v>
      </c>
      <c r="B10" s="57">
        <v>4</v>
      </c>
      <c r="C10" s="57">
        <v>5</v>
      </c>
      <c r="D10" s="57">
        <v>1</v>
      </c>
      <c r="E10" s="57">
        <v>1</v>
      </c>
      <c r="F10" s="57">
        <v>1</v>
      </c>
      <c r="G10" s="57">
        <v>1</v>
      </c>
      <c r="H10" s="57">
        <v>0.5</v>
      </c>
      <c r="I10" s="57">
        <v>2</v>
      </c>
      <c r="J10" s="57">
        <v>0.5</v>
      </c>
      <c r="K10" s="57">
        <v>4</v>
      </c>
      <c r="L10" s="57">
        <v>1</v>
      </c>
      <c r="M10" s="57">
        <v>1</v>
      </c>
      <c r="N10" s="57">
        <v>1</v>
      </c>
    </row>
    <row r="11" spans="1:14" ht="31.5">
      <c r="A11" s="71" t="s">
        <v>86</v>
      </c>
      <c r="B11" s="71">
        <f>B10/25</f>
        <v>0.16</v>
      </c>
      <c r="C11" s="71">
        <f t="shared" ref="C11:N11" si="0">C10/25</f>
        <v>0.2</v>
      </c>
      <c r="D11" s="71">
        <f t="shared" si="0"/>
        <v>0.04</v>
      </c>
      <c r="E11" s="71">
        <f t="shared" si="0"/>
        <v>0.04</v>
      </c>
      <c r="F11" s="71">
        <f t="shared" si="0"/>
        <v>0.04</v>
      </c>
      <c r="G11" s="71">
        <f t="shared" si="0"/>
        <v>0.04</v>
      </c>
      <c r="H11" s="71">
        <f t="shared" si="0"/>
        <v>0.02</v>
      </c>
      <c r="I11" s="71">
        <f t="shared" si="0"/>
        <v>0.08</v>
      </c>
      <c r="J11" s="71">
        <f t="shared" si="0"/>
        <v>0.02</v>
      </c>
      <c r="K11" s="71">
        <f t="shared" si="0"/>
        <v>0.16</v>
      </c>
      <c r="L11" s="71">
        <f t="shared" si="0"/>
        <v>0.04</v>
      </c>
      <c r="M11" s="71">
        <f t="shared" si="0"/>
        <v>0.04</v>
      </c>
      <c r="N11" s="71">
        <f t="shared" si="0"/>
        <v>0.04</v>
      </c>
    </row>
    <row r="12" spans="1:14" ht="15.75">
      <c r="A12" s="71" t="s">
        <v>116</v>
      </c>
      <c r="B12" s="71">
        <f>B11*12</f>
        <v>1.92</v>
      </c>
      <c r="C12" s="71">
        <f t="shared" ref="C12:N12" si="1">C11*12</f>
        <v>2.4000000000000004</v>
      </c>
      <c r="D12" s="71">
        <f t="shared" si="1"/>
        <v>0.48</v>
      </c>
      <c r="E12" s="71">
        <f t="shared" si="1"/>
        <v>0.48</v>
      </c>
      <c r="F12" s="71">
        <f t="shared" si="1"/>
        <v>0.48</v>
      </c>
      <c r="G12" s="71">
        <f t="shared" si="1"/>
        <v>0.48</v>
      </c>
      <c r="H12" s="71">
        <f t="shared" si="1"/>
        <v>0.24</v>
      </c>
      <c r="I12" s="71">
        <f t="shared" si="1"/>
        <v>0.96</v>
      </c>
      <c r="J12" s="71">
        <f t="shared" si="1"/>
        <v>0.24</v>
      </c>
      <c r="K12" s="71">
        <f t="shared" si="1"/>
        <v>1.92</v>
      </c>
      <c r="L12" s="71">
        <f t="shared" si="1"/>
        <v>0.48</v>
      </c>
      <c r="M12" s="71">
        <f t="shared" si="1"/>
        <v>0.48</v>
      </c>
      <c r="N12" s="71">
        <f t="shared" si="1"/>
        <v>0.48</v>
      </c>
    </row>
    <row r="13" spans="1:14">
      <c r="A13" s="1" t="s">
        <v>104</v>
      </c>
      <c r="B13" s="1">
        <v>15</v>
      </c>
      <c r="C13" s="1">
        <v>15.6</v>
      </c>
      <c r="D13" s="1">
        <v>40</v>
      </c>
      <c r="E13" s="1">
        <v>123.8</v>
      </c>
      <c r="F13" s="1">
        <v>25</v>
      </c>
      <c r="G13" s="1">
        <v>134</v>
      </c>
      <c r="H13" s="1">
        <v>27.3</v>
      </c>
      <c r="I13" s="46">
        <v>36</v>
      </c>
      <c r="J13" s="46">
        <v>20</v>
      </c>
      <c r="K13" s="46">
        <v>60</v>
      </c>
      <c r="L13" s="46">
        <v>80</v>
      </c>
      <c r="M13" s="1">
        <v>9.4</v>
      </c>
      <c r="N13" s="1">
        <v>145</v>
      </c>
    </row>
    <row r="14" spans="1:14">
      <c r="A14" s="1" t="s">
        <v>105</v>
      </c>
      <c r="B14" s="1">
        <f>B12*B13</f>
        <v>28.799999999999997</v>
      </c>
      <c r="C14" s="1">
        <f t="shared" ref="C14:N14" si="2">C12*C13</f>
        <v>37.440000000000005</v>
      </c>
      <c r="D14" s="1">
        <f t="shared" si="2"/>
        <v>19.2</v>
      </c>
      <c r="E14" s="1">
        <f t="shared" si="2"/>
        <v>59.423999999999999</v>
      </c>
      <c r="F14" s="1">
        <f t="shared" si="2"/>
        <v>12</v>
      </c>
      <c r="G14" s="1">
        <f t="shared" si="2"/>
        <v>64.319999999999993</v>
      </c>
      <c r="H14" s="1">
        <f t="shared" si="2"/>
        <v>6.5519999999999996</v>
      </c>
      <c r="I14" s="1">
        <f t="shared" si="2"/>
        <v>34.56</v>
      </c>
      <c r="J14" s="1">
        <f t="shared" si="2"/>
        <v>4.8</v>
      </c>
      <c r="K14" s="1">
        <f t="shared" si="2"/>
        <v>115.19999999999999</v>
      </c>
      <c r="L14" s="1">
        <f t="shared" si="2"/>
        <v>38.4</v>
      </c>
      <c r="M14" s="1">
        <f t="shared" si="2"/>
        <v>4.5119999999999996</v>
      </c>
      <c r="N14" s="1">
        <f t="shared" si="2"/>
        <v>69.599999999999994</v>
      </c>
    </row>
    <row r="15" spans="1:14">
      <c r="J15" s="106" t="s">
        <v>116</v>
      </c>
      <c r="K15" s="106"/>
      <c r="L15" s="106"/>
      <c r="M15" s="106"/>
      <c r="N15">
        <f>B14+C14+D14+E14+F14+G14+H14+I14+J14+K14+L14+M14+N14</f>
        <v>494.80799999999999</v>
      </c>
    </row>
    <row r="16" spans="1:14">
      <c r="L16" s="98" t="s">
        <v>118</v>
      </c>
      <c r="M16" s="109"/>
      <c r="N16" s="1">
        <f>N15*таб2!D27</f>
        <v>4948.08</v>
      </c>
    </row>
    <row r="17" spans="1:14">
      <c r="L17" s="41"/>
      <c r="M17" s="41"/>
      <c r="N17" s="40"/>
    </row>
    <row r="18" spans="1:14">
      <c r="H18" s="103" t="s">
        <v>119</v>
      </c>
      <c r="I18" s="103"/>
      <c r="J18" s="103"/>
      <c r="K18" s="103"/>
      <c r="L18" s="103"/>
      <c r="M18" s="103"/>
      <c r="N18" s="103"/>
    </row>
    <row r="19" spans="1:14">
      <c r="J19" t="s">
        <v>120</v>
      </c>
      <c r="K19">
        <f>'таб 3'!F35</f>
        <v>31100</v>
      </c>
      <c r="L19" s="41" t="s">
        <v>121</v>
      </c>
      <c r="M19" s="41">
        <f>N16</f>
        <v>4948.08</v>
      </c>
      <c r="N19" s="40">
        <f>K19+M19</f>
        <v>36048.080000000002</v>
      </c>
    </row>
    <row r="20" spans="1:14">
      <c r="H20" s="103" t="s">
        <v>122</v>
      </c>
      <c r="I20" s="103"/>
      <c r="J20" s="103"/>
      <c r="K20" s="103"/>
      <c r="L20" s="103"/>
      <c r="M20" s="103"/>
      <c r="N20" s="103"/>
    </row>
    <row r="21" spans="1:14">
      <c r="J21">
        <f>N19</f>
        <v>36048.080000000002</v>
      </c>
      <c r="K21" s="64" t="s">
        <v>123</v>
      </c>
      <c r="L21" s="41">
        <v>12</v>
      </c>
      <c r="M21" s="41">
        <f>J21/L21</f>
        <v>3004.0066666666667</v>
      </c>
      <c r="N21" s="40"/>
    </row>
    <row r="22" spans="1:14">
      <c r="K22" s="64"/>
      <c r="L22" s="41"/>
      <c r="M22" s="41"/>
      <c r="N22" s="40"/>
    </row>
    <row r="23" spans="1:14">
      <c r="A23" s="104"/>
      <c r="B23" s="104"/>
      <c r="C23" s="104"/>
      <c r="D23" s="104"/>
      <c r="E23" s="104"/>
      <c r="F23" s="104"/>
      <c r="G23" s="104"/>
      <c r="K23" s="64"/>
      <c r="L23" s="41"/>
      <c r="M23" s="41"/>
      <c r="N23" s="40"/>
    </row>
    <row r="24" spans="1:14">
      <c r="K24" s="64"/>
      <c r="L24" s="41"/>
      <c r="M24" s="41"/>
      <c r="N24" s="40"/>
    </row>
    <row r="25" spans="1:14">
      <c r="K25" s="64"/>
      <c r="L25" s="41"/>
      <c r="M25" s="41"/>
      <c r="N25" s="40"/>
    </row>
    <row r="26" spans="1:14" ht="17.25" customHeight="1">
      <c r="K26" s="64"/>
      <c r="L26" s="41"/>
      <c r="M26" s="41"/>
      <c r="N26" s="40"/>
    </row>
    <row r="27" spans="1:14">
      <c r="B27" s="40" t="s">
        <v>58</v>
      </c>
      <c r="C27" s="42"/>
      <c r="D27" s="42"/>
      <c r="E27" t="str">
        <f>'таб 3'!E40</f>
        <v>М.В. Селиверстова</v>
      </c>
    </row>
    <row r="28" spans="1:14">
      <c r="B28" s="43" t="s">
        <v>59</v>
      </c>
      <c r="C28" s="62"/>
      <c r="D28" s="45"/>
      <c r="E28" s="64" t="s">
        <v>60</v>
      </c>
    </row>
    <row r="31" spans="1:14" ht="15.75">
      <c r="F31" s="68"/>
    </row>
  </sheetData>
  <mergeCells count="9">
    <mergeCell ref="K1:N1"/>
    <mergeCell ref="H18:N18"/>
    <mergeCell ref="H20:N20"/>
    <mergeCell ref="A23:G23"/>
    <mergeCell ref="A7:N7"/>
    <mergeCell ref="J15:M15"/>
    <mergeCell ref="A4:N4"/>
    <mergeCell ref="A3:N3"/>
    <mergeCell ref="L16:M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I31"/>
  <sheetViews>
    <sheetView tabSelected="1" view="pageBreakPreview" topLeftCell="A8" zoomScaleSheetLayoutView="100" workbookViewId="0">
      <selection activeCell="G27" sqref="G27"/>
    </sheetView>
  </sheetViews>
  <sheetFormatPr defaultRowHeight="15"/>
  <cols>
    <col min="1" max="1" width="3" customWidth="1"/>
    <col min="2" max="2" width="20.140625" customWidth="1"/>
    <col min="3" max="3" width="12.85546875" customWidth="1"/>
    <col min="6" max="6" width="15" customWidth="1"/>
    <col min="7" max="7" width="19.5703125" customWidth="1"/>
  </cols>
  <sheetData>
    <row r="1" spans="2:9" ht="15.75">
      <c r="F1" s="83" t="s">
        <v>19</v>
      </c>
      <c r="G1" s="83"/>
    </row>
    <row r="3" spans="2:9" ht="18.75">
      <c r="B3" s="93" t="s">
        <v>13</v>
      </c>
      <c r="C3" s="93"/>
      <c r="D3" s="93"/>
      <c r="E3" s="93"/>
      <c r="F3" s="93"/>
      <c r="G3" s="93"/>
    </row>
    <row r="4" spans="2:9" ht="18.75">
      <c r="B4" s="101" t="str">
        <f>'таб 3'!B4:F4</f>
        <v>Кружок " Изобразительного творчества"</v>
      </c>
      <c r="C4" s="101"/>
      <c r="D4" s="101"/>
      <c r="E4" s="101"/>
      <c r="F4" s="101"/>
      <c r="G4" s="101"/>
    </row>
    <row r="5" spans="2:9" ht="18.75" customHeight="1">
      <c r="B5" s="84" t="s">
        <v>57</v>
      </c>
      <c r="C5" s="84"/>
      <c r="D5" s="84"/>
      <c r="E5" s="84"/>
      <c r="F5" s="84"/>
      <c r="G5" s="84"/>
    </row>
    <row r="7" spans="2:9" ht="126">
      <c r="B7" s="11" t="s">
        <v>14</v>
      </c>
      <c r="C7" s="11" t="s">
        <v>15</v>
      </c>
      <c r="D7" s="11" t="s">
        <v>16</v>
      </c>
      <c r="E7" s="11" t="s">
        <v>17</v>
      </c>
      <c r="F7" s="11" t="s">
        <v>66</v>
      </c>
      <c r="G7" s="11" t="s">
        <v>18</v>
      </c>
      <c r="H7" s="10"/>
      <c r="I7" s="10"/>
    </row>
    <row r="8" spans="2:9" ht="12" customHeight="1">
      <c r="B8" s="51">
        <v>1</v>
      </c>
      <c r="C8" s="51">
        <v>2</v>
      </c>
      <c r="D8" s="51">
        <v>3</v>
      </c>
      <c r="E8" s="51">
        <v>4</v>
      </c>
      <c r="F8" s="51">
        <v>5</v>
      </c>
      <c r="G8" s="51">
        <v>6</v>
      </c>
      <c r="H8" s="10"/>
      <c r="I8" s="10"/>
    </row>
    <row r="9" spans="2:9">
      <c r="B9" s="5" t="s">
        <v>147</v>
      </c>
      <c r="C9" s="1">
        <v>18990</v>
      </c>
      <c r="D9" s="1">
        <v>4.17</v>
      </c>
      <c r="E9" s="1">
        <v>741</v>
      </c>
      <c r="F9" s="1">
        <f>таб2!D33</f>
        <v>49.56</v>
      </c>
      <c r="G9" s="39">
        <f>C9*D9%/E9*F9</f>
        <v>52.963186882591096</v>
      </c>
    </row>
    <row r="10" spans="2:9">
      <c r="B10" s="1" t="s">
        <v>148</v>
      </c>
      <c r="C10" s="1">
        <v>7490</v>
      </c>
      <c r="D10" s="1">
        <v>4.17</v>
      </c>
      <c r="E10" s="1">
        <f>E9</f>
        <v>741</v>
      </c>
      <c r="F10" s="1">
        <f>F9</f>
        <v>49.56</v>
      </c>
      <c r="G10" s="39">
        <f>C10*D10%/E10*F10</f>
        <v>20.889640323886642</v>
      </c>
    </row>
    <row r="11" spans="2:9">
      <c r="B11" s="5" t="s">
        <v>164</v>
      </c>
      <c r="C11" s="1">
        <v>25660.79</v>
      </c>
      <c r="D11" s="1">
        <v>1.67</v>
      </c>
      <c r="E11" s="1">
        <f t="shared" ref="E11:E13" si="0">E10</f>
        <v>741</v>
      </c>
      <c r="F11" s="1">
        <f t="shared" ref="F11:F13" si="1">F10</f>
        <v>49.56</v>
      </c>
      <c r="G11" s="39">
        <f>C11*D11%/E11*F11</f>
        <v>28.661544082429153</v>
      </c>
    </row>
    <row r="12" spans="2:9">
      <c r="B12" s="5" t="s">
        <v>192</v>
      </c>
      <c r="C12" s="1">
        <f>490.61*5</f>
        <v>2453.0500000000002</v>
      </c>
      <c r="D12" s="1">
        <v>1.67</v>
      </c>
      <c r="E12" s="1">
        <f t="shared" si="0"/>
        <v>741</v>
      </c>
      <c r="F12" s="1">
        <f t="shared" si="1"/>
        <v>49.56</v>
      </c>
      <c r="G12" s="39">
        <f t="shared" ref="G12:G13" si="2">C12*D12%/E12*F12</f>
        <v>2.7399078793522271</v>
      </c>
    </row>
    <row r="13" spans="2:9">
      <c r="B13" s="1" t="s">
        <v>193</v>
      </c>
      <c r="C13" s="1">
        <f>600.65*10</f>
        <v>6006.5</v>
      </c>
      <c r="D13" s="1">
        <v>1.67</v>
      </c>
      <c r="E13" s="1">
        <f t="shared" si="0"/>
        <v>741</v>
      </c>
      <c r="F13" s="1">
        <f t="shared" si="1"/>
        <v>49.56</v>
      </c>
      <c r="G13" s="39">
        <f t="shared" si="2"/>
        <v>6.7088957327935228</v>
      </c>
    </row>
    <row r="14" spans="2:9">
      <c r="B14" s="1"/>
      <c r="C14" s="1"/>
      <c r="D14" s="1"/>
      <c r="E14" s="1"/>
      <c r="F14" s="1"/>
      <c r="G14" s="39"/>
    </row>
    <row r="15" spans="2:9">
      <c r="B15" s="1"/>
      <c r="C15" s="1"/>
      <c r="D15" s="1"/>
      <c r="E15" s="1"/>
      <c r="F15" s="1"/>
      <c r="G15" s="39"/>
    </row>
    <row r="16" spans="2:9">
      <c r="B16" s="1"/>
      <c r="C16" s="1"/>
      <c r="D16" s="1"/>
      <c r="E16" s="1"/>
      <c r="F16" s="1"/>
      <c r="G16" s="39"/>
    </row>
    <row r="17" spans="2:7">
      <c r="B17" s="1"/>
      <c r="C17" s="1"/>
      <c r="D17" s="1"/>
      <c r="E17" s="1"/>
      <c r="F17" s="1"/>
      <c r="G17" s="39"/>
    </row>
    <row r="18" spans="2:7">
      <c r="B18" s="1"/>
      <c r="C18" s="1"/>
      <c r="D18" s="1"/>
      <c r="E18" s="1"/>
      <c r="F18" s="1"/>
      <c r="G18" s="39"/>
    </row>
    <row r="19" spans="2:7">
      <c r="B19" s="1"/>
      <c r="C19" s="1"/>
      <c r="D19" s="1"/>
      <c r="E19" s="1"/>
      <c r="F19" s="1"/>
      <c r="G19" s="39"/>
    </row>
    <row r="20" spans="2:7">
      <c r="B20" s="1"/>
      <c r="C20" s="1"/>
      <c r="D20" s="1"/>
      <c r="E20" s="1"/>
      <c r="F20" s="1"/>
      <c r="G20" s="39"/>
    </row>
    <row r="21" spans="2:7">
      <c r="B21" s="1"/>
      <c r="C21" s="1"/>
      <c r="D21" s="1"/>
      <c r="E21" s="1"/>
      <c r="F21" s="1"/>
      <c r="G21" s="39"/>
    </row>
    <row r="22" spans="2:7">
      <c r="B22" s="1" t="s">
        <v>5</v>
      </c>
      <c r="C22" s="9" t="s">
        <v>6</v>
      </c>
      <c r="D22" s="9" t="s">
        <v>6</v>
      </c>
      <c r="E22" s="9" t="s">
        <v>6</v>
      </c>
      <c r="F22" s="9" t="s">
        <v>6</v>
      </c>
      <c r="G22" s="39">
        <f>SUM(G9:G21)</f>
        <v>111.96317490105264</v>
      </c>
    </row>
    <row r="24" spans="2:7">
      <c r="B24" s="40" t="s">
        <v>58</v>
      </c>
      <c r="C24" s="42"/>
      <c r="D24" s="42"/>
      <c r="E24" t="str">
        <f>'таб 3-2'!E27</f>
        <v>М.В. Селиверстова</v>
      </c>
    </row>
    <row r="25" spans="2:7">
      <c r="B25" s="43" t="s">
        <v>59</v>
      </c>
      <c r="C25" s="44"/>
      <c r="D25" s="45"/>
      <c r="E25" s="3" t="s">
        <v>60</v>
      </c>
    </row>
    <row r="27" spans="2:7">
      <c r="B27" s="78" t="s">
        <v>146</v>
      </c>
      <c r="C27" t="s">
        <v>156</v>
      </c>
      <c r="G27" t="s">
        <v>157</v>
      </c>
    </row>
    <row r="28" spans="2:7">
      <c r="B28" s="77" t="s">
        <v>149</v>
      </c>
      <c r="D28" s="79" t="s">
        <v>150</v>
      </c>
      <c r="F28" s="79" t="s">
        <v>153</v>
      </c>
    </row>
    <row r="29" spans="2:7">
      <c r="B29" t="s">
        <v>147</v>
      </c>
      <c r="D29" t="s">
        <v>151</v>
      </c>
      <c r="F29" t="s">
        <v>154</v>
      </c>
    </row>
    <row r="30" spans="2:7">
      <c r="B30" t="s">
        <v>148</v>
      </c>
      <c r="D30" t="s">
        <v>152</v>
      </c>
      <c r="F30" t="s">
        <v>155</v>
      </c>
    </row>
    <row r="31" spans="2:7">
      <c r="B31" t="s">
        <v>71</v>
      </c>
    </row>
  </sheetData>
  <mergeCells count="4">
    <mergeCell ref="B3:G3"/>
    <mergeCell ref="B4:G4"/>
    <mergeCell ref="F1:G1"/>
    <mergeCell ref="B5:G5"/>
  </mergeCells>
  <pageMargins left="0.7" right="0.7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G45"/>
  <sheetViews>
    <sheetView topLeftCell="A29" workbookViewId="0">
      <selection activeCell="E49" sqref="E49"/>
    </sheetView>
  </sheetViews>
  <sheetFormatPr defaultRowHeight="15"/>
  <cols>
    <col min="2" max="2" width="29" bestFit="1" customWidth="1"/>
    <col min="3" max="3" width="19.7109375" bestFit="1" customWidth="1"/>
    <col min="4" max="4" width="9.28515625" bestFit="1" customWidth="1"/>
    <col min="5" max="5" width="12.7109375" bestFit="1" customWidth="1"/>
    <col min="7" max="7" width="9.28515625" bestFit="1" customWidth="1"/>
  </cols>
  <sheetData>
    <row r="1" spans="2:7" ht="15.75">
      <c r="D1" s="83" t="s">
        <v>32</v>
      </c>
      <c r="E1" s="83"/>
      <c r="F1" s="21"/>
      <c r="G1" s="20"/>
    </row>
    <row r="2" spans="2:7" ht="15.75">
      <c r="B2" s="133" t="s">
        <v>127</v>
      </c>
      <c r="C2" s="133"/>
      <c r="D2" s="133"/>
      <c r="E2" s="133"/>
      <c r="F2" s="17"/>
      <c r="G2" s="14"/>
    </row>
    <row r="3" spans="2:7" ht="15.75">
      <c r="B3" s="134" t="str">
        <f>'таб 4'!B4:G4</f>
        <v>Кружок " Изобразительного творчества"</v>
      </c>
      <c r="C3" s="134"/>
      <c r="D3" s="134"/>
      <c r="E3" s="134"/>
      <c r="F3" s="15"/>
      <c r="G3" s="14"/>
    </row>
    <row r="4" spans="2:7" ht="15.75">
      <c r="B4" s="135" t="s">
        <v>31</v>
      </c>
      <c r="C4" s="135"/>
      <c r="D4" s="135"/>
      <c r="E4" s="135"/>
      <c r="F4" s="19"/>
      <c r="G4" s="14"/>
    </row>
    <row r="5" spans="2:7" ht="15.75" thickBot="1">
      <c r="E5" t="s">
        <v>75</v>
      </c>
    </row>
    <row r="6" spans="2:7">
      <c r="B6" s="112" t="s">
        <v>20</v>
      </c>
      <c r="C6" s="113"/>
      <c r="D6" s="127">
        <f>таб2!G20</f>
        <v>48207.851999999999</v>
      </c>
      <c r="E6" s="128"/>
      <c r="F6" s="22"/>
    </row>
    <row r="7" spans="2:7" ht="15.75" thickBot="1">
      <c r="B7" s="114"/>
      <c r="C7" s="115"/>
      <c r="D7" s="129"/>
      <c r="E7" s="130"/>
      <c r="F7" s="22"/>
    </row>
    <row r="8" spans="2:7" ht="15.75" thickBot="1">
      <c r="B8" s="131" t="s">
        <v>21</v>
      </c>
      <c r="C8" s="132"/>
      <c r="D8" s="139">
        <f>C28</f>
        <v>81235.993333333332</v>
      </c>
      <c r="E8" s="139"/>
      <c r="F8" s="23"/>
    </row>
    <row r="9" spans="2:7">
      <c r="B9" s="112" t="s">
        <v>22</v>
      </c>
      <c r="C9" s="113"/>
      <c r="D9" s="140">
        <f>E33</f>
        <v>4549.0519722222225</v>
      </c>
      <c r="E9" s="141"/>
      <c r="F9" s="24"/>
    </row>
    <row r="10" spans="2:7" ht="15.75" thickBot="1">
      <c r="B10" s="114"/>
      <c r="C10" s="115"/>
      <c r="D10" s="142"/>
      <c r="E10" s="143"/>
      <c r="F10" s="24"/>
    </row>
    <row r="11" spans="2:7">
      <c r="B11" s="112" t="s">
        <v>23</v>
      </c>
      <c r="C11" s="113"/>
      <c r="D11" s="116">
        <f>таб2!G22</f>
        <v>387709.56</v>
      </c>
      <c r="E11" s="117"/>
      <c r="F11" s="25"/>
    </row>
    <row r="12" spans="2:7" ht="15.75" customHeight="1" thickBot="1">
      <c r="B12" s="114"/>
      <c r="C12" s="115"/>
      <c r="D12" s="118"/>
      <c r="E12" s="117"/>
      <c r="F12" s="25"/>
    </row>
    <row r="13" spans="2:7">
      <c r="B13" s="119" t="s">
        <v>24</v>
      </c>
      <c r="C13" s="112" t="s">
        <v>25</v>
      </c>
      <c r="D13" s="121">
        <f>(D6+D8+D9)/D11</f>
        <v>0.34560122093856949</v>
      </c>
      <c r="E13" s="122"/>
      <c r="F13" s="25"/>
    </row>
    <row r="14" spans="2:7" ht="15.75" thickBot="1">
      <c r="B14" s="120"/>
      <c r="C14" s="114"/>
      <c r="D14" s="121"/>
      <c r="E14" s="122"/>
      <c r="F14" s="26"/>
    </row>
    <row r="15" spans="2:7">
      <c r="B15" s="112" t="s">
        <v>26</v>
      </c>
      <c r="C15" s="113"/>
      <c r="D15" s="123">
        <f>таб2!F9</f>
        <v>878.40284611573964</v>
      </c>
      <c r="E15" s="124"/>
      <c r="F15" s="27"/>
    </row>
    <row r="16" spans="2:7" ht="15.75" thickBot="1">
      <c r="B16" s="114"/>
      <c r="C16" s="115"/>
      <c r="D16" s="125"/>
      <c r="E16" s="126"/>
      <c r="F16" s="27"/>
    </row>
    <row r="17" spans="2:6" ht="15.75" thickBot="1">
      <c r="B17" s="12" t="s">
        <v>27</v>
      </c>
      <c r="C17" s="13" t="s">
        <v>28</v>
      </c>
      <c r="D17" s="110">
        <f>D13*D15</f>
        <v>303.577096093514</v>
      </c>
      <c r="E17" s="111"/>
      <c r="F17" s="27"/>
    </row>
    <row r="18" spans="2:6" ht="15.75" customHeight="1"/>
    <row r="19" spans="2:6">
      <c r="B19" s="66" t="s">
        <v>125</v>
      </c>
      <c r="C19" s="66"/>
      <c r="D19" s="66"/>
    </row>
    <row r="20" spans="2:6">
      <c r="B20" s="1">
        <v>221</v>
      </c>
      <c r="C20" s="36">
        <v>33033.58</v>
      </c>
      <c r="D20" t="s">
        <v>124</v>
      </c>
    </row>
    <row r="21" spans="2:6">
      <c r="B21" s="1">
        <v>222</v>
      </c>
      <c r="C21" s="36">
        <v>0</v>
      </c>
      <c r="D21" t="s">
        <v>124</v>
      </c>
    </row>
    <row r="22" spans="2:6">
      <c r="B22" s="1">
        <v>223</v>
      </c>
      <c r="C22" s="39">
        <v>594199.92000000004</v>
      </c>
      <c r="D22" t="s">
        <v>126</v>
      </c>
      <c r="E22" s="67">
        <f>E39</f>
        <v>544516</v>
      </c>
      <c r="F22">
        <f>-E42</f>
        <v>-50178.098602365229</v>
      </c>
    </row>
    <row r="23" spans="2:6">
      <c r="B23" s="1">
        <v>225</v>
      </c>
      <c r="C23" s="36">
        <v>84392.03</v>
      </c>
      <c r="D23" t="s">
        <v>124</v>
      </c>
    </row>
    <row r="24" spans="2:6">
      <c r="B24" s="1">
        <v>226</v>
      </c>
      <c r="C24" s="36">
        <v>184450.84</v>
      </c>
      <c r="D24" t="s">
        <v>124</v>
      </c>
    </row>
    <row r="25" spans="2:6">
      <c r="B25" s="1">
        <v>290</v>
      </c>
      <c r="C25" s="36">
        <v>78755.55</v>
      </c>
      <c r="D25" t="s">
        <v>124</v>
      </c>
    </row>
    <row r="26" spans="2:6">
      <c r="B26" s="1"/>
      <c r="C26" s="1"/>
    </row>
    <row r="27" spans="2:6">
      <c r="B27" s="48" t="s">
        <v>72</v>
      </c>
      <c r="C27" s="39">
        <f>C20+C21+C23+C24+C25+C22+C26</f>
        <v>974831.92</v>
      </c>
      <c r="D27" t="s">
        <v>76</v>
      </c>
    </row>
    <row r="28" spans="2:6">
      <c r="C28">
        <f>C27/12</f>
        <v>81235.993333333332</v>
      </c>
      <c r="D28" t="s">
        <v>77</v>
      </c>
    </row>
    <row r="29" spans="2:6">
      <c r="B29" s="49" t="s">
        <v>80</v>
      </c>
    </row>
    <row r="30" spans="2:6">
      <c r="B30" t="s">
        <v>81</v>
      </c>
    </row>
    <row r="31" spans="2:6">
      <c r="B31" s="145" t="s">
        <v>158</v>
      </c>
    </row>
    <row r="32" spans="2:6" ht="23.25">
      <c r="B32" s="145"/>
      <c r="C32" s="54" t="s">
        <v>82</v>
      </c>
      <c r="D32" s="80" t="s">
        <v>159</v>
      </c>
      <c r="E32" s="1" t="s">
        <v>83</v>
      </c>
    </row>
    <row r="33" spans="2:7">
      <c r="B33" s="145"/>
      <c r="C33" s="55">
        <v>1637658.71</v>
      </c>
      <c r="D33" s="81">
        <v>360</v>
      </c>
      <c r="E33" s="39">
        <f>C33/D33</f>
        <v>4549.0519722222225</v>
      </c>
    </row>
    <row r="34" spans="2:7" ht="42.75" customHeight="1">
      <c r="B34" s="146" t="s">
        <v>162</v>
      </c>
      <c r="C34" s="146"/>
      <c r="D34" s="146"/>
      <c r="E34" s="146"/>
    </row>
    <row r="35" spans="2:7">
      <c r="B35" s="59" t="s">
        <v>128</v>
      </c>
      <c r="C35" s="61">
        <v>35.799999999999997</v>
      </c>
      <c r="D35" s="46">
        <v>6.69</v>
      </c>
      <c r="E35" s="60">
        <f>C35*D35*1000</f>
        <v>239501.99999999997</v>
      </c>
    </row>
    <row r="36" spans="2:7">
      <c r="B36" s="59" t="s">
        <v>135</v>
      </c>
      <c r="C36" s="61">
        <v>1.71</v>
      </c>
      <c r="D36" s="46">
        <v>45.78</v>
      </c>
      <c r="E36" s="60">
        <v>79724</v>
      </c>
    </row>
    <row r="37" spans="2:7">
      <c r="B37" s="59" t="s">
        <v>136</v>
      </c>
      <c r="C37" s="61">
        <v>80</v>
      </c>
      <c r="D37" s="1">
        <v>2.82</v>
      </c>
      <c r="E37" s="60">
        <v>225290</v>
      </c>
    </row>
    <row r="38" spans="2:7">
      <c r="B38" s="59" t="s">
        <v>137</v>
      </c>
      <c r="C38" s="58"/>
      <c r="D38" s="1">
        <v>6.4290000000000003</v>
      </c>
      <c r="E38" s="60">
        <f>C38*D38*1000</f>
        <v>0</v>
      </c>
    </row>
    <row r="39" spans="2:7">
      <c r="B39" s="1"/>
      <c r="C39" s="48" t="s">
        <v>72</v>
      </c>
      <c r="D39" s="1"/>
      <c r="E39" s="39">
        <f>E35+E36+E37+E38</f>
        <v>544516</v>
      </c>
    </row>
    <row r="40" spans="2:7">
      <c r="B40" s="1"/>
      <c r="C40" s="48" t="s">
        <v>112</v>
      </c>
      <c r="D40" s="1"/>
      <c r="E40" s="36">
        <v>651.1</v>
      </c>
    </row>
    <row r="41" spans="2:7">
      <c r="B41" s="144" t="s">
        <v>113</v>
      </c>
      <c r="C41" s="144"/>
      <c r="D41" s="1"/>
      <c r="E41" s="36">
        <v>60</v>
      </c>
    </row>
    <row r="42" spans="2:7" ht="27" customHeight="1">
      <c r="B42" s="136" t="s">
        <v>114</v>
      </c>
      <c r="C42" s="137"/>
      <c r="D42" s="138"/>
      <c r="E42" s="1">
        <f>E39/E40*E41</f>
        <v>50178.098602365229</v>
      </c>
      <c r="F42" t="s">
        <v>160</v>
      </c>
    </row>
    <row r="43" spans="2:7" ht="26.25" customHeight="1">
      <c r="B43" s="136" t="s">
        <v>115</v>
      </c>
      <c r="C43" s="137"/>
      <c r="D43" s="138"/>
      <c r="E43" s="39">
        <f>E42/12</f>
        <v>4181.5082168637691</v>
      </c>
      <c r="F43" s="82" t="s">
        <v>161</v>
      </c>
      <c r="G43" s="46">
        <f>E43/16.52*4.13</f>
        <v>1045.3770542159423</v>
      </c>
    </row>
    <row r="44" spans="2:7">
      <c r="B44" s="40" t="s">
        <v>58</v>
      </c>
      <c r="C44" s="42"/>
      <c r="D44" s="42"/>
      <c r="E44" t="str">
        <f>'таб 3-2'!E27</f>
        <v>М.В. Селиверстова</v>
      </c>
    </row>
    <row r="45" spans="2:7">
      <c r="B45" s="43" t="s">
        <v>59</v>
      </c>
      <c r="C45" s="44"/>
      <c r="D45" s="45"/>
      <c r="E45" s="3" t="s">
        <v>60</v>
      </c>
    </row>
  </sheetData>
  <mergeCells count="23">
    <mergeCell ref="B42:D42"/>
    <mergeCell ref="B43:D43"/>
    <mergeCell ref="D8:E8"/>
    <mergeCell ref="B9:C10"/>
    <mergeCell ref="D9:E10"/>
    <mergeCell ref="B41:C41"/>
    <mergeCell ref="B31:B33"/>
    <mergeCell ref="B34:E34"/>
    <mergeCell ref="D1:E1"/>
    <mergeCell ref="D17:E17"/>
    <mergeCell ref="B11:C12"/>
    <mergeCell ref="D11:E12"/>
    <mergeCell ref="B13:B14"/>
    <mergeCell ref="C13:C14"/>
    <mergeCell ref="D13:E14"/>
    <mergeCell ref="B15:C16"/>
    <mergeCell ref="D15:E16"/>
    <mergeCell ref="B6:C7"/>
    <mergeCell ref="D6:E7"/>
    <mergeCell ref="B8:C8"/>
    <mergeCell ref="B2:E2"/>
    <mergeCell ref="B3:E3"/>
    <mergeCell ref="B4:E4"/>
  </mergeCells>
  <pageMargins left="0.7" right="0.7" top="0.75" bottom="0.75" header="0.3" footer="0.3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G23"/>
  <sheetViews>
    <sheetView topLeftCell="A10" workbookViewId="0">
      <selection activeCell="D19" sqref="D19:F19"/>
    </sheetView>
  </sheetViews>
  <sheetFormatPr defaultRowHeight="15"/>
  <cols>
    <col min="3" max="3" width="34.42578125" customWidth="1"/>
  </cols>
  <sheetData>
    <row r="1" spans="2:7" ht="15.75">
      <c r="E1" s="83" t="s">
        <v>46</v>
      </c>
      <c r="F1" s="83"/>
    </row>
    <row r="3" spans="2:7" ht="15.75">
      <c r="B3" s="133" t="s">
        <v>29</v>
      </c>
      <c r="C3" s="133"/>
      <c r="D3" s="133"/>
      <c r="E3" s="133"/>
      <c r="F3" s="133"/>
    </row>
    <row r="4" spans="2:7" ht="15.75" customHeight="1">
      <c r="B4" s="133" t="s">
        <v>30</v>
      </c>
      <c r="C4" s="133"/>
      <c r="D4" s="133"/>
      <c r="E4" s="133"/>
      <c r="F4" s="133"/>
    </row>
    <row r="5" spans="2:7" ht="15.75">
      <c r="B5" s="153" t="str">
        <f>'таб 5'!B3:E3</f>
        <v>Кружок " Изобразительного творчества"</v>
      </c>
      <c r="C5" s="153"/>
      <c r="D5" s="153"/>
      <c r="E5" s="153"/>
      <c r="F5" s="153"/>
    </row>
    <row r="6" spans="2:7" ht="15.75">
      <c r="B6" s="135" t="s">
        <v>31</v>
      </c>
      <c r="C6" s="135"/>
      <c r="D6" s="135"/>
      <c r="E6" s="135"/>
      <c r="F6" s="135"/>
    </row>
    <row r="7" spans="2:7" ht="16.5" thickBot="1">
      <c r="B7" s="16"/>
      <c r="C7" s="19"/>
      <c r="D7" s="18"/>
      <c r="E7" s="18"/>
      <c r="F7" s="18"/>
    </row>
    <row r="8" spans="2:7">
      <c r="B8" s="154" t="s">
        <v>33</v>
      </c>
      <c r="C8" s="154" t="s">
        <v>34</v>
      </c>
      <c r="D8" s="156" t="s">
        <v>35</v>
      </c>
      <c r="E8" s="157"/>
      <c r="F8" s="158"/>
    </row>
    <row r="9" spans="2:7" ht="32.25" customHeight="1" thickBot="1">
      <c r="B9" s="155"/>
      <c r="C9" s="155"/>
      <c r="D9" s="159"/>
      <c r="E9" s="160"/>
      <c r="F9" s="161"/>
    </row>
    <row r="10" spans="2:7" ht="61.5" customHeight="1">
      <c r="B10" s="168" t="s">
        <v>36</v>
      </c>
      <c r="C10" s="170" t="s">
        <v>47</v>
      </c>
      <c r="D10" s="172">
        <f>таб2!F9</f>
        <v>878.40284611573964</v>
      </c>
      <c r="E10" s="173"/>
      <c r="F10" s="174"/>
      <c r="G10" s="76" t="s">
        <v>142</v>
      </c>
    </row>
    <row r="11" spans="2:7">
      <c r="B11" s="169"/>
      <c r="C11" s="171"/>
      <c r="D11" s="147"/>
      <c r="E11" s="148"/>
      <c r="F11" s="149"/>
      <c r="G11" s="76"/>
    </row>
    <row r="12" spans="2:7" ht="15.75">
      <c r="B12" s="28" t="s">
        <v>37</v>
      </c>
      <c r="C12" s="29" t="s">
        <v>38</v>
      </c>
      <c r="D12" s="175">
        <f>'таб 3-2'!M21</f>
        <v>3004.0066666666667</v>
      </c>
      <c r="E12" s="176"/>
      <c r="F12" s="177"/>
      <c r="G12" s="76" t="s">
        <v>141</v>
      </c>
    </row>
    <row r="13" spans="2:7" ht="63">
      <c r="B13" s="28" t="s">
        <v>39</v>
      </c>
      <c r="C13" s="29" t="s">
        <v>40</v>
      </c>
      <c r="D13" s="178">
        <f>'таб 4'!G22/12</f>
        <v>9.3302645750877193</v>
      </c>
      <c r="E13" s="181"/>
      <c r="F13" s="182"/>
      <c r="G13" s="76" t="s">
        <v>143</v>
      </c>
    </row>
    <row r="14" spans="2:7" ht="31.5">
      <c r="B14" s="28" t="s">
        <v>41</v>
      </c>
      <c r="C14" s="29" t="s">
        <v>42</v>
      </c>
      <c r="D14" s="147">
        <f>'таб 5'!D17:E17</f>
        <v>303.577096093514</v>
      </c>
      <c r="E14" s="148"/>
      <c r="F14" s="149"/>
      <c r="G14" s="76" t="s">
        <v>144</v>
      </c>
    </row>
    <row r="15" spans="2:7" ht="31.5">
      <c r="B15" s="52" t="s">
        <v>107</v>
      </c>
      <c r="C15" s="53" t="s">
        <v>110</v>
      </c>
      <c r="D15" s="178">
        <f>'таб 5'!G43</f>
        <v>1045.3770542159423</v>
      </c>
      <c r="E15" s="179"/>
      <c r="F15" s="180"/>
      <c r="G15" s="76" t="s">
        <v>144</v>
      </c>
    </row>
    <row r="16" spans="2:7" ht="15.75">
      <c r="B16" s="52" t="s">
        <v>108</v>
      </c>
      <c r="C16" s="30" t="s">
        <v>43</v>
      </c>
      <c r="D16" s="150">
        <f>D10+D12+D13+D14+D15</f>
        <v>5240.6939276669509</v>
      </c>
      <c r="E16" s="151"/>
      <c r="F16" s="152"/>
      <c r="G16" s="76"/>
    </row>
    <row r="17" spans="2:7" ht="15.75">
      <c r="B17" s="52" t="s">
        <v>45</v>
      </c>
      <c r="C17" s="29" t="s">
        <v>44</v>
      </c>
      <c r="D17" s="150">
        <f>D16*15%</f>
        <v>786.10408915004257</v>
      </c>
      <c r="E17" s="151"/>
      <c r="F17" s="152"/>
      <c r="G17" s="76"/>
    </row>
    <row r="18" spans="2:7" ht="30.75" thickBot="1">
      <c r="B18" s="31" t="s">
        <v>109</v>
      </c>
      <c r="C18" s="32" t="s">
        <v>140</v>
      </c>
      <c r="D18" s="162">
        <f>D16+D17</f>
        <v>6026.7980168169934</v>
      </c>
      <c r="E18" s="163"/>
      <c r="F18" s="164"/>
      <c r="G18" s="4" t="s">
        <v>138</v>
      </c>
    </row>
    <row r="19" spans="2:7" ht="48" thickBot="1">
      <c r="B19" s="33">
        <v>10</v>
      </c>
      <c r="C19" s="34" t="s">
        <v>139</v>
      </c>
      <c r="D19" s="165">
        <f>D18/таб2!D27</f>
        <v>602.67980168169936</v>
      </c>
      <c r="E19" s="166"/>
      <c r="F19" s="167"/>
      <c r="G19" s="67">
        <f>D19/таб2!E28</f>
        <v>75.33497521021242</v>
      </c>
    </row>
    <row r="22" spans="2:7">
      <c r="B22" s="40" t="s">
        <v>58</v>
      </c>
      <c r="C22" s="42"/>
      <c r="D22" s="42"/>
      <c r="E22" t="str">
        <f>'таб 4'!E24</f>
        <v>М.В. Селиверстова</v>
      </c>
    </row>
    <row r="23" spans="2:7">
      <c r="B23" s="43" t="s">
        <v>59</v>
      </c>
      <c r="C23" s="44"/>
      <c r="D23" s="45"/>
      <c r="E23" s="3" t="s">
        <v>60</v>
      </c>
    </row>
  </sheetData>
  <mergeCells count="19">
    <mergeCell ref="D18:F18"/>
    <mergeCell ref="D19:F19"/>
    <mergeCell ref="B10:B11"/>
    <mergeCell ref="C10:C11"/>
    <mergeCell ref="D10:F11"/>
    <mergeCell ref="D12:F12"/>
    <mergeCell ref="D15:F15"/>
    <mergeCell ref="D13:F13"/>
    <mergeCell ref="D17:F17"/>
    <mergeCell ref="B6:F6"/>
    <mergeCell ref="E1:F1"/>
    <mergeCell ref="D14:F14"/>
    <mergeCell ref="D16:F16"/>
    <mergeCell ref="B3:F3"/>
    <mergeCell ref="B4:F4"/>
    <mergeCell ref="B5:F5"/>
    <mergeCell ref="B8:B9"/>
    <mergeCell ref="C8:C9"/>
    <mergeCell ref="D8:F9"/>
  </mergeCells>
  <pageMargins left="0.70866141732283472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таб2</vt:lpstr>
      <vt:lpstr>таб 3</vt:lpstr>
      <vt:lpstr>таб 3-2</vt:lpstr>
      <vt:lpstr>таб 4</vt:lpstr>
      <vt:lpstr>таб 5</vt:lpstr>
      <vt:lpstr>таб 6</vt:lpstr>
      <vt:lpstr>'таб 4'!Область_печати</vt:lpstr>
      <vt:lpstr>таб2!Область_печати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2017-08-14T07:11:30Z</dcterms:modified>
</cp:coreProperties>
</file>